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Financial Systems Services\Subversion\dotNet\BusFin\Forms\CampusSvcs\21And22\"/>
    </mc:Choice>
  </mc:AlternateContent>
  <xr:revisionPtr revIDLastSave="0" documentId="8_{B212E591-E340-46EE-85A8-DB12076D99E8}" xr6:coauthVersionLast="47" xr6:coauthVersionMax="47" xr10:uidLastSave="{00000000-0000-0000-0000-000000000000}"/>
  <bookViews>
    <workbookView xWindow="17580" yWindow="1980" windowWidth="22308" windowHeight="12708" tabRatio="820" xr2:uid="{00000000-000D-0000-FFFF-FFFF00000000}"/>
  </bookViews>
  <sheets>
    <sheet name="FY26 22 Billing Rate Calc" sheetId="7" r:id="rId1"/>
    <sheet name="FY26 Fringe Rates" sheetId="11" r:id="rId2"/>
    <sheet name="Labor" sheetId="8" r:id="rId3"/>
    <sheet name="FY26 22 Acct FBR" sheetId="12" r:id="rId4"/>
    <sheet name="22 Acct 3 Yr Projection" sheetId="13" r:id="rId5"/>
    <sheet name="Billing Rate Calculation" sheetId="5" state="hidden" r:id="rId6"/>
    <sheet name="3-Year Projection" sheetId="6" state="hidden" r:id="rId7"/>
    <sheet name="21 Fund Budget Request Form" sheetId="4" state="hidden" r:id="rId8"/>
  </sheets>
  <definedNames>
    <definedName name="_xlnm.Print_Area" localSheetId="7">'21 Fund Budget Request Form'!$A$1:$L$225</definedName>
    <definedName name="_xlnm.Print_Area" localSheetId="3">'FY26 22 Acct FBR'!$A$1:$L$204</definedName>
    <definedName name="_xlnm.Print_Area" localSheetId="0">'FY26 22 Billing Rate Calc'!$1:$67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3" l="1"/>
  <c r="AH47" i="7"/>
  <c r="AL47" i="7" s="1"/>
  <c r="AL21" i="7"/>
  <c r="AD32" i="7"/>
  <c r="Z30" i="7"/>
  <c r="V32" i="7"/>
  <c r="V30" i="7"/>
  <c r="R32" i="7"/>
  <c r="R30" i="7"/>
  <c r="AI37" i="7"/>
  <c r="AE55" i="7"/>
  <c r="AI55" i="7"/>
  <c r="AA55" i="7"/>
  <c r="W55" i="7"/>
  <c r="S55" i="7"/>
  <c r="G55" i="7"/>
  <c r="K36" i="7"/>
  <c r="AK56" i="7"/>
  <c r="AK55" i="7"/>
  <c r="AK54" i="7"/>
  <c r="AK53" i="7"/>
  <c r="AK52" i="7"/>
  <c r="AK51" i="7"/>
  <c r="AK50" i="7"/>
  <c r="AK49" i="7"/>
  <c r="AK48" i="7"/>
  <c r="AG56" i="7"/>
  <c r="AG55" i="7"/>
  <c r="AG54" i="7"/>
  <c r="AG53" i="7"/>
  <c r="AG52" i="7"/>
  <c r="AG51" i="7"/>
  <c r="AG50" i="7"/>
  <c r="AG49" i="7"/>
  <c r="AG48" i="7"/>
  <c r="AC56" i="7"/>
  <c r="AC55" i="7"/>
  <c r="AC54" i="7"/>
  <c r="AC53" i="7"/>
  <c r="AC52" i="7"/>
  <c r="AC51" i="7"/>
  <c r="AC50" i="7"/>
  <c r="AC49" i="7"/>
  <c r="AC48" i="7"/>
  <c r="Y56" i="7"/>
  <c r="Y55" i="7"/>
  <c r="Y54" i="7"/>
  <c r="Y53" i="7"/>
  <c r="Y52" i="7"/>
  <c r="Y51" i="7"/>
  <c r="Y50" i="7"/>
  <c r="Y49" i="7"/>
  <c r="Y48" i="7"/>
  <c r="U56" i="7"/>
  <c r="U55" i="7"/>
  <c r="U54" i="7"/>
  <c r="U53" i="7"/>
  <c r="U52" i="7"/>
  <c r="U51" i="7"/>
  <c r="U50" i="7"/>
  <c r="U49" i="7"/>
  <c r="U48" i="7"/>
  <c r="Q56" i="7"/>
  <c r="Q55" i="7"/>
  <c r="Q54" i="7"/>
  <c r="Q53" i="7"/>
  <c r="Q52" i="7"/>
  <c r="Q51" i="7"/>
  <c r="Q50" i="7"/>
  <c r="Q49" i="7"/>
  <c r="Q48" i="7"/>
  <c r="M56" i="7"/>
  <c r="M55" i="7"/>
  <c r="M54" i="7"/>
  <c r="M53" i="7"/>
  <c r="M52" i="7"/>
  <c r="M51" i="7"/>
  <c r="M50" i="7"/>
  <c r="M49" i="7"/>
  <c r="M48" i="7"/>
  <c r="I56" i="7"/>
  <c r="I55" i="7"/>
  <c r="I54" i="7"/>
  <c r="I53" i="7"/>
  <c r="I52" i="7"/>
  <c r="I51" i="7"/>
  <c r="I50" i="7"/>
  <c r="I49" i="7"/>
  <c r="I48" i="7"/>
  <c r="AK46" i="7"/>
  <c r="AK45" i="7"/>
  <c r="AK44" i="7"/>
  <c r="AK43" i="7"/>
  <c r="AK42" i="7"/>
  <c r="AK41" i="7"/>
  <c r="AK40" i="7"/>
  <c r="AK39" i="7"/>
  <c r="AK38" i="7"/>
  <c r="AK37" i="7"/>
  <c r="AK36" i="7"/>
  <c r="AG46" i="7"/>
  <c r="AG45" i="7"/>
  <c r="AG44" i="7"/>
  <c r="AG43" i="7"/>
  <c r="AG42" i="7"/>
  <c r="AG41" i="7"/>
  <c r="AG40" i="7"/>
  <c r="AG39" i="7"/>
  <c r="AG38" i="7"/>
  <c r="AG37" i="7"/>
  <c r="AG36" i="7"/>
  <c r="AC46" i="7"/>
  <c r="AC45" i="7"/>
  <c r="AC44" i="7"/>
  <c r="AC43" i="7"/>
  <c r="AC42" i="7"/>
  <c r="AC41" i="7"/>
  <c r="AC40" i="7"/>
  <c r="AC39" i="7"/>
  <c r="AC38" i="7"/>
  <c r="AC37" i="7"/>
  <c r="AC36" i="7"/>
  <c r="Y46" i="7"/>
  <c r="Y45" i="7"/>
  <c r="Y44" i="7"/>
  <c r="Y43" i="7"/>
  <c r="Y42" i="7"/>
  <c r="Y41" i="7"/>
  <c r="Y40" i="7"/>
  <c r="Y39" i="7"/>
  <c r="Y38" i="7"/>
  <c r="Y37" i="7"/>
  <c r="Y36" i="7"/>
  <c r="U46" i="7"/>
  <c r="U45" i="7"/>
  <c r="U44" i="7"/>
  <c r="U43" i="7"/>
  <c r="U42" i="7"/>
  <c r="U41" i="7"/>
  <c r="U40" i="7"/>
  <c r="U39" i="7"/>
  <c r="U38" i="7"/>
  <c r="U37" i="7"/>
  <c r="U36" i="7"/>
  <c r="Q46" i="7"/>
  <c r="Q45" i="7"/>
  <c r="Q44" i="7"/>
  <c r="Q43" i="7"/>
  <c r="Q42" i="7"/>
  <c r="Q41" i="7"/>
  <c r="Q40" i="7"/>
  <c r="Q39" i="7"/>
  <c r="Q38" i="7"/>
  <c r="Q37" i="7"/>
  <c r="Q36" i="7"/>
  <c r="M46" i="7"/>
  <c r="M45" i="7"/>
  <c r="M44" i="7"/>
  <c r="M43" i="7"/>
  <c r="M42" i="7"/>
  <c r="M41" i="7"/>
  <c r="M40" i="7"/>
  <c r="M39" i="7"/>
  <c r="M38" i="7"/>
  <c r="M37" i="7"/>
  <c r="M36" i="7"/>
  <c r="I46" i="7"/>
  <c r="I45" i="7"/>
  <c r="I44" i="7"/>
  <c r="I43" i="7"/>
  <c r="I42" i="7"/>
  <c r="I41" i="7"/>
  <c r="I40" i="7"/>
  <c r="I39" i="7"/>
  <c r="I38" i="7"/>
  <c r="I37" i="7"/>
  <c r="I36" i="7"/>
  <c r="E49" i="7"/>
  <c r="E50" i="7"/>
  <c r="E51" i="7"/>
  <c r="E52" i="7"/>
  <c r="E53" i="7"/>
  <c r="E54" i="7"/>
  <c r="E55" i="7"/>
  <c r="E56" i="7"/>
  <c r="E48" i="7"/>
  <c r="E37" i="7"/>
  <c r="E38" i="7"/>
  <c r="E39" i="7"/>
  <c r="E40" i="7"/>
  <c r="E41" i="7"/>
  <c r="E42" i="7"/>
  <c r="E43" i="7"/>
  <c r="E44" i="7"/>
  <c r="E45" i="7"/>
  <c r="E46" i="7"/>
  <c r="E36" i="7"/>
  <c r="L191" i="12"/>
  <c r="H55" i="12"/>
  <c r="N32" i="7"/>
  <c r="N30" i="7"/>
  <c r="B59" i="7"/>
  <c r="AL55" i="7"/>
  <c r="C55" i="7"/>
  <c r="AL54" i="7"/>
  <c r="AL56" i="7"/>
  <c r="AI54" i="7"/>
  <c r="AE54" i="7"/>
  <c r="AA54" i="7"/>
  <c r="W54" i="7"/>
  <c r="S54" i="7"/>
  <c r="O54" i="7"/>
  <c r="K54" i="7"/>
  <c r="G54" i="7"/>
  <c r="C54" i="7"/>
  <c r="AM54" i="7" s="1"/>
  <c r="H57" i="12"/>
  <c r="B47" i="7"/>
  <c r="AM55" i="7" l="1"/>
  <c r="E17" i="7"/>
  <c r="E16" i="7"/>
  <c r="E15" i="7"/>
  <c r="AI34" i="7" l="1"/>
  <c r="AL34" i="7"/>
  <c r="L43" i="12" s="1"/>
  <c r="J162" i="12"/>
  <c r="L162" i="12" s="1"/>
  <c r="J172" i="12"/>
  <c r="L172" i="12" s="1"/>
  <c r="J170" i="12"/>
  <c r="L170" i="12" s="1"/>
  <c r="J168" i="12"/>
  <c r="L168" i="12" s="1"/>
  <c r="J166" i="12"/>
  <c r="L166" i="12" s="1"/>
  <c r="J164" i="12"/>
  <c r="L164" i="12" s="1"/>
  <c r="J160" i="12"/>
  <c r="L160" i="12" s="1"/>
  <c r="J158" i="12"/>
  <c r="L158" i="12" s="1"/>
  <c r="J156" i="12"/>
  <c r="L156" i="12" s="1"/>
  <c r="J152" i="12"/>
  <c r="L152" i="12" s="1"/>
  <c r="J150" i="12"/>
  <c r="L150" i="12" s="1"/>
  <c r="J148" i="12"/>
  <c r="L148" i="12" s="1"/>
  <c r="J146" i="12"/>
  <c r="L146" i="12" s="1"/>
  <c r="J144" i="12"/>
  <c r="D29" i="8"/>
  <c r="D28" i="8"/>
  <c r="R25" i="8"/>
  <c r="R23" i="8"/>
  <c r="R20" i="8"/>
  <c r="R22" i="8"/>
  <c r="R21" i="8"/>
  <c r="D19" i="8"/>
  <c r="D18" i="8"/>
  <c r="D14" i="8"/>
  <c r="D13" i="8"/>
  <c r="D9" i="8"/>
  <c r="D8" i="8"/>
  <c r="R17" i="8"/>
  <c r="R8" i="8"/>
  <c r="R7" i="8"/>
  <c r="R9" i="8" s="1"/>
  <c r="R11" i="8" s="1"/>
  <c r="L144" i="12" l="1"/>
  <c r="E32" i="8"/>
  <c r="E27" i="8"/>
  <c r="E22" i="8"/>
  <c r="E17" i="8"/>
  <c r="E12" i="8"/>
  <c r="E7" i="8"/>
  <c r="AL37" i="7" l="1"/>
  <c r="AE37" i="7"/>
  <c r="AA37" i="7"/>
  <c r="W37" i="7"/>
  <c r="S37" i="7"/>
  <c r="O37" i="7"/>
  <c r="K37" i="7"/>
  <c r="G37" i="7"/>
  <c r="C37" i="7"/>
  <c r="AM37" i="7" l="1"/>
  <c r="M19" i="8" l="1"/>
  <c r="L19" i="8"/>
  <c r="J19" i="8"/>
  <c r="I19" i="8"/>
  <c r="H19" i="8"/>
  <c r="K18" i="8"/>
  <c r="G18" i="8"/>
  <c r="F19" i="8"/>
  <c r="L9" i="8"/>
  <c r="K9" i="8"/>
  <c r="L8" i="8"/>
  <c r="F9" i="8"/>
  <c r="H9" i="8"/>
  <c r="I8" i="8"/>
  <c r="Z35" i="7"/>
  <c r="AH35" i="7"/>
  <c r="AL43" i="7"/>
  <c r="B35" i="7"/>
  <c r="AD35" i="7"/>
  <c r="AE35" i="7" s="1"/>
  <c r="N34" i="8"/>
  <c r="N33" i="8"/>
  <c r="N24" i="8"/>
  <c r="N25" i="8" s="1"/>
  <c r="AI32" i="7" s="1"/>
  <c r="AI33" i="7" s="1"/>
  <c r="N23" i="8"/>
  <c r="AL49" i="7"/>
  <c r="H49" i="12" s="1"/>
  <c r="AL50" i="7"/>
  <c r="AL51" i="7"/>
  <c r="H60" i="12" s="1"/>
  <c r="AL52" i="7"/>
  <c r="AL53" i="7"/>
  <c r="D17" i="13"/>
  <c r="AL48" i="7"/>
  <c r="AL38" i="7"/>
  <c r="AL39" i="7"/>
  <c r="AL40" i="7"/>
  <c r="AL41" i="7"/>
  <c r="AL42" i="7"/>
  <c r="AL44" i="7"/>
  <c r="AL45" i="7"/>
  <c r="AL46" i="7"/>
  <c r="AL36" i="7"/>
  <c r="AL20" i="7"/>
  <c r="L26" i="12" s="1"/>
  <c r="AL16" i="7"/>
  <c r="G35" i="8"/>
  <c r="H35" i="8"/>
  <c r="I35" i="8"/>
  <c r="J35" i="8"/>
  <c r="K35" i="8"/>
  <c r="L35" i="8"/>
  <c r="M35" i="8"/>
  <c r="G30" i="8"/>
  <c r="H30" i="8"/>
  <c r="I30" i="8"/>
  <c r="J30" i="8"/>
  <c r="K30" i="8"/>
  <c r="L30" i="8"/>
  <c r="M30" i="8"/>
  <c r="G25" i="8"/>
  <c r="H25" i="8"/>
  <c r="I25" i="8"/>
  <c r="J25" i="8"/>
  <c r="K25" i="8"/>
  <c r="L25" i="8"/>
  <c r="M25" i="8"/>
  <c r="L10" i="8"/>
  <c r="AI49" i="7"/>
  <c r="AI50" i="7"/>
  <c r="AI51" i="7"/>
  <c r="AI52" i="7"/>
  <c r="AI53" i="7"/>
  <c r="AI56" i="7"/>
  <c r="AI48" i="7"/>
  <c r="AI38" i="7"/>
  <c r="AI39" i="7"/>
  <c r="AI40" i="7"/>
  <c r="AI41" i="7"/>
  <c r="AI42" i="7"/>
  <c r="AI43" i="7"/>
  <c r="AI44" i="7"/>
  <c r="AI45" i="7"/>
  <c r="AI46" i="7"/>
  <c r="AI36" i="7"/>
  <c r="AI20" i="7"/>
  <c r="AI16" i="7"/>
  <c r="C28" i="7"/>
  <c r="C29" i="7" s="1"/>
  <c r="C35" i="8"/>
  <c r="C30" i="8"/>
  <c r="C20" i="8"/>
  <c r="C10" i="8"/>
  <c r="C15" i="8"/>
  <c r="N29" i="8"/>
  <c r="N30" i="8" s="1"/>
  <c r="AI28" i="7" s="1"/>
  <c r="AI29" i="7" s="1"/>
  <c r="N28" i="8"/>
  <c r="H18" i="8"/>
  <c r="K8" i="8"/>
  <c r="W28" i="7"/>
  <c r="W29" i="7" s="1"/>
  <c r="G30" i="7"/>
  <c r="G31" i="7" s="1"/>
  <c r="F35" i="8"/>
  <c r="C30" i="7" s="1"/>
  <c r="C31" i="7" s="1"/>
  <c r="K28" i="7"/>
  <c r="K29" i="7" s="1"/>
  <c r="AE32" i="7"/>
  <c r="AE33" i="7" s="1"/>
  <c r="S32" i="7"/>
  <c r="S33" i="7" s="1"/>
  <c r="F25" i="8"/>
  <c r="C32" i="7" s="1"/>
  <c r="C33" i="7" s="1"/>
  <c r="K19" i="8"/>
  <c r="F30" i="8"/>
  <c r="N9" i="8"/>
  <c r="L21" i="12" l="1"/>
  <c r="D9" i="13"/>
  <c r="H183" i="12"/>
  <c r="L66" i="12"/>
  <c r="H189" i="12" s="1"/>
  <c r="H51" i="12"/>
  <c r="L64" i="12"/>
  <c r="H187" i="12" s="1"/>
  <c r="AI47" i="7"/>
  <c r="H53" i="12"/>
  <c r="H185" i="12" s="1"/>
  <c r="H20" i="8"/>
  <c r="G8" i="8"/>
  <c r="G10" i="8" s="1"/>
  <c r="M8" i="8"/>
  <c r="G9" i="8"/>
  <c r="I9" i="8"/>
  <c r="J8" i="8"/>
  <c r="N8" i="8"/>
  <c r="N10" i="8" s="1"/>
  <c r="AI24" i="7" s="1"/>
  <c r="AI25" i="7" s="1"/>
  <c r="AH25" i="7" s="1"/>
  <c r="M9" i="8"/>
  <c r="H8" i="8"/>
  <c r="F8" i="8"/>
  <c r="F10" i="8" s="1"/>
  <c r="J9" i="8"/>
  <c r="K10" i="8"/>
  <c r="K20" i="8"/>
  <c r="G20" i="8"/>
  <c r="F18" i="8"/>
  <c r="L18" i="8"/>
  <c r="L20" i="8" s="1"/>
  <c r="AA26" i="7" s="1"/>
  <c r="AA27" i="7" s="1"/>
  <c r="I18" i="8"/>
  <c r="I20" i="8" s="1"/>
  <c r="M18" i="8"/>
  <c r="M20" i="8" s="1"/>
  <c r="J18" i="8"/>
  <c r="J20" i="8" s="1"/>
  <c r="G19" i="8"/>
  <c r="AI35" i="7"/>
  <c r="N20" i="8"/>
  <c r="AI26" i="7" s="1"/>
  <c r="AI27" i="7" s="1"/>
  <c r="N35" i="8"/>
  <c r="AI30" i="7" s="1"/>
  <c r="AI31" i="7" s="1"/>
  <c r="AH28" i="7"/>
  <c r="AH32" i="7"/>
  <c r="S30" i="7"/>
  <c r="S28" i="7"/>
  <c r="S29" i="7" s="1"/>
  <c r="AA30" i="7"/>
  <c r="H10" i="8"/>
  <c r="K24" i="7" s="1"/>
  <c r="K25" i="7" s="1"/>
  <c r="G28" i="7"/>
  <c r="AA32" i="7"/>
  <c r="AE28" i="7"/>
  <c r="AE29" i="7" s="1"/>
  <c r="I10" i="8"/>
  <c r="J28" i="7"/>
  <c r="B29" i="7"/>
  <c r="AD33" i="7"/>
  <c r="R33" i="7"/>
  <c r="B30" i="7"/>
  <c r="B32" i="7"/>
  <c r="AD47" i="7"/>
  <c r="E9" i="13" l="1"/>
  <c r="F9" i="13" s="1"/>
  <c r="L62" i="12"/>
  <c r="S31" i="7"/>
  <c r="R31" i="7" s="1"/>
  <c r="F28" i="7"/>
  <c r="G29" i="7"/>
  <c r="F29" i="7" s="1"/>
  <c r="AA31" i="7"/>
  <c r="Z31" i="7" s="1"/>
  <c r="Z32" i="7"/>
  <c r="AA33" i="7"/>
  <c r="Z33" i="7" s="1"/>
  <c r="Z26" i="7"/>
  <c r="AH24" i="7"/>
  <c r="M10" i="8"/>
  <c r="J10" i="8"/>
  <c r="AH26" i="7"/>
  <c r="AH30" i="7"/>
  <c r="AH29" i="7"/>
  <c r="AH33" i="7"/>
  <c r="AH27" i="7"/>
  <c r="R28" i="7"/>
  <c r="AA28" i="7"/>
  <c r="AA29" i="7" s="1"/>
  <c r="AD28" i="7"/>
  <c r="R29" i="7"/>
  <c r="B28" i="7"/>
  <c r="Z27" i="7"/>
  <c r="J29" i="7"/>
  <c r="F31" i="7"/>
  <c r="B33" i="7"/>
  <c r="Z28" i="7" l="1"/>
  <c r="AH31" i="7"/>
  <c r="Z29" i="7"/>
  <c r="AD29" i="7"/>
  <c r="B31" i="7"/>
  <c r="AA35" i="7"/>
  <c r="AE30" i="7"/>
  <c r="AE31" i="7" s="1"/>
  <c r="AE24" i="7"/>
  <c r="AE25" i="7" s="1"/>
  <c r="AA24" i="7"/>
  <c r="AA25" i="7" s="1"/>
  <c r="W24" i="7"/>
  <c r="W25" i="7" s="1"/>
  <c r="S24" i="7"/>
  <c r="S25" i="7" s="1"/>
  <c r="K13" i="8" l="1"/>
  <c r="G13" i="8"/>
  <c r="H13" i="8"/>
  <c r="N13" i="8"/>
  <c r="J13" i="8"/>
  <c r="L13" i="8"/>
  <c r="L15" i="8" s="1"/>
  <c r="M13" i="8"/>
  <c r="I13" i="8"/>
  <c r="F13" i="8"/>
  <c r="K14" i="8"/>
  <c r="G14" i="8"/>
  <c r="N14" i="8"/>
  <c r="J14" i="8"/>
  <c r="F14" i="8"/>
  <c r="M14" i="8"/>
  <c r="I14" i="8"/>
  <c r="L14" i="8"/>
  <c r="H14" i="8"/>
  <c r="AE26" i="7"/>
  <c r="AE27" i="7" s="1"/>
  <c r="O26" i="7"/>
  <c r="O27" i="7" s="1"/>
  <c r="G26" i="7"/>
  <c r="G27" i="7" s="1"/>
  <c r="S26" i="7"/>
  <c r="S27" i="7" s="1"/>
  <c r="K26" i="7"/>
  <c r="K27" i="7" s="1"/>
  <c r="F20" i="8"/>
  <c r="C26" i="7" s="1"/>
  <c r="W26" i="7"/>
  <c r="W27" i="7" s="1"/>
  <c r="V24" i="7"/>
  <c r="G32" i="7"/>
  <c r="G24" i="7"/>
  <c r="G25" i="7" s="1"/>
  <c r="C24" i="7"/>
  <c r="R24" i="7"/>
  <c r="AD30" i="7"/>
  <c r="J25" i="7"/>
  <c r="Z24" i="7"/>
  <c r="AD25" i="7"/>
  <c r="O24" i="7"/>
  <c r="O25" i="7" s="1"/>
  <c r="O28" i="7"/>
  <c r="W32" i="7"/>
  <c r="W33" i="7" s="1"/>
  <c r="K32" i="7"/>
  <c r="K33" i="7" s="1"/>
  <c r="O30" i="7"/>
  <c r="O31" i="7" s="1"/>
  <c r="O32" i="7"/>
  <c r="O33" i="7" s="1"/>
  <c r="F32" i="7" l="1"/>
  <c r="G33" i="7"/>
  <c r="F33" i="7" s="1"/>
  <c r="AM28" i="7"/>
  <c r="O29" i="7"/>
  <c r="G15" i="8"/>
  <c r="B24" i="7"/>
  <c r="C25" i="7"/>
  <c r="B25" i="7" s="1"/>
  <c r="C27" i="7"/>
  <c r="B27" i="7" s="1"/>
  <c r="I15" i="8"/>
  <c r="O22" i="7" s="1"/>
  <c r="N15" i="8"/>
  <c r="AI22" i="7" s="1"/>
  <c r="M15" i="8"/>
  <c r="AE22" i="7" s="1"/>
  <c r="H15" i="8"/>
  <c r="K22" i="7" s="1"/>
  <c r="F15" i="8"/>
  <c r="C22" i="7" s="1"/>
  <c r="C23" i="7" s="1"/>
  <c r="J15" i="8"/>
  <c r="S22" i="7" s="1"/>
  <c r="K15" i="8"/>
  <c r="W22" i="7" s="1"/>
  <c r="W23" i="7" s="1"/>
  <c r="AM32" i="7"/>
  <c r="AM26" i="7"/>
  <c r="AM24" i="7"/>
  <c r="V25" i="7"/>
  <c r="F25" i="7"/>
  <c r="F24" i="7"/>
  <c r="R25" i="7"/>
  <c r="K30" i="7"/>
  <c r="W30" i="7"/>
  <c r="W31" i="7" s="1"/>
  <c r="Z25" i="7"/>
  <c r="AD24" i="7"/>
  <c r="AD31" i="7"/>
  <c r="J24" i="7"/>
  <c r="N33" i="7"/>
  <c r="N26" i="7"/>
  <c r="R26" i="7"/>
  <c r="F26" i="7"/>
  <c r="V28" i="7"/>
  <c r="N31" i="7"/>
  <c r="J27" i="7"/>
  <c r="AA22" i="7"/>
  <c r="AD27" i="7"/>
  <c r="G22" i="7"/>
  <c r="J26" i="7"/>
  <c r="V26" i="7"/>
  <c r="B23" i="7" l="1"/>
  <c r="K31" i="7"/>
  <c r="J31" i="7" s="1"/>
  <c r="S23" i="7"/>
  <c r="R23" i="7" s="1"/>
  <c r="AD22" i="7"/>
  <c r="AE23" i="7"/>
  <c r="AD23" i="7" s="1"/>
  <c r="O23" i="7"/>
  <c r="N23" i="7" s="1"/>
  <c r="B22" i="7"/>
  <c r="G23" i="7"/>
  <c r="F23" i="7" s="1"/>
  <c r="K23" i="7"/>
  <c r="J23" i="7" s="1"/>
  <c r="Z22" i="7"/>
  <c r="AA23" i="7"/>
  <c r="Z23" i="7" s="1"/>
  <c r="AI23" i="7"/>
  <c r="AH23" i="7" s="1"/>
  <c r="AH22" i="7"/>
  <c r="AM22" i="7"/>
  <c r="V33" i="7"/>
  <c r="V27" i="7"/>
  <c r="AM30" i="7"/>
  <c r="N27" i="7"/>
  <c r="J33" i="7"/>
  <c r="N29" i="7"/>
  <c r="J32" i="7"/>
  <c r="N28" i="7"/>
  <c r="R27" i="7"/>
  <c r="N25" i="7"/>
  <c r="AL25" i="7" s="1"/>
  <c r="N24" i="7"/>
  <c r="AL24" i="7" s="1"/>
  <c r="F22" i="7"/>
  <c r="AD26" i="7"/>
  <c r="B26" i="7"/>
  <c r="F27" i="7"/>
  <c r="R22" i="7"/>
  <c r="AM23" i="7" l="1"/>
  <c r="H31" i="12"/>
  <c r="J31" i="12" s="1"/>
  <c r="AH21" i="7"/>
  <c r="AH57" i="7" s="1"/>
  <c r="AL26" i="7"/>
  <c r="AM33" i="7"/>
  <c r="AL33" i="7"/>
  <c r="AL27" i="7"/>
  <c r="AM25" i="7"/>
  <c r="AL28" i="7"/>
  <c r="AM27" i="7"/>
  <c r="V29" i="7"/>
  <c r="AL29" i="7" s="1"/>
  <c r="AM29" i="7"/>
  <c r="V23" i="7"/>
  <c r="AL23" i="7" s="1"/>
  <c r="V31" i="7"/>
  <c r="AL31" i="7" s="1"/>
  <c r="AM31" i="7"/>
  <c r="K38" i="7"/>
  <c r="N22" i="7"/>
  <c r="J22" i="7"/>
  <c r="V22" i="7"/>
  <c r="AH58" i="7" l="1"/>
  <c r="AH59" i="7"/>
  <c r="H154" i="12"/>
  <c r="L31" i="12"/>
  <c r="H35" i="12"/>
  <c r="AI21" i="7"/>
  <c r="AL22" i="7"/>
  <c r="H33" i="12" l="1"/>
  <c r="J35" i="12"/>
  <c r="L35" i="12" s="1"/>
  <c r="J154" i="12"/>
  <c r="AI58" i="7"/>
  <c r="AI57" i="7"/>
  <c r="AI59" i="7"/>
  <c r="AL32" i="7"/>
  <c r="J30" i="7"/>
  <c r="F30" i="7"/>
  <c r="F21" i="7" s="1"/>
  <c r="G21" i="7" s="1"/>
  <c r="M1" i="7"/>
  <c r="Y1" i="7" s="1"/>
  <c r="H37" i="12" l="1"/>
  <c r="J37" i="12" s="1"/>
  <c r="L37" i="12" s="1"/>
  <c r="J33" i="12"/>
  <c r="L154" i="12"/>
  <c r="AH60" i="7"/>
  <c r="AI60" i="7"/>
  <c r="AH67" i="7" s="1"/>
  <c r="AL30" i="7"/>
  <c r="AD21" i="7"/>
  <c r="AD57" i="7" s="1"/>
  <c r="AE47" i="7"/>
  <c r="Z21" i="7"/>
  <c r="Z47" i="7"/>
  <c r="V35" i="7"/>
  <c r="W35" i="7" s="1"/>
  <c r="V47" i="7"/>
  <c r="W47" i="7" s="1"/>
  <c r="R21" i="7"/>
  <c r="S21" i="7" s="1"/>
  <c r="R35" i="7"/>
  <c r="S35" i="7" s="1"/>
  <c r="R47" i="7"/>
  <c r="S47" i="7" s="1"/>
  <c r="N35" i="7"/>
  <c r="O35" i="7" s="1"/>
  <c r="N47" i="7"/>
  <c r="O47" i="7" s="1"/>
  <c r="J47" i="7"/>
  <c r="K47" i="7" s="1"/>
  <c r="F35" i="7"/>
  <c r="F47" i="7"/>
  <c r="B21" i="7"/>
  <c r="C35" i="7"/>
  <c r="AL13" i="7"/>
  <c r="AL14" i="7"/>
  <c r="C34" i="7"/>
  <c r="G34" i="7"/>
  <c r="K34" i="7"/>
  <c r="O34" i="7"/>
  <c r="S34" i="7"/>
  <c r="W34" i="7"/>
  <c r="AA34" i="7"/>
  <c r="AE34" i="7"/>
  <c r="C36" i="7"/>
  <c r="O36" i="7"/>
  <c r="S36" i="7"/>
  <c r="AA36" i="7"/>
  <c r="C38" i="7"/>
  <c r="O38" i="7"/>
  <c r="S38" i="7"/>
  <c r="W38" i="7"/>
  <c r="AA38" i="7"/>
  <c r="AE38" i="7"/>
  <c r="C39" i="7"/>
  <c r="G39" i="7"/>
  <c r="K39" i="7"/>
  <c r="O39" i="7"/>
  <c r="S39" i="7"/>
  <c r="W39" i="7"/>
  <c r="AA39" i="7"/>
  <c r="AE39" i="7"/>
  <c r="C40" i="7"/>
  <c r="G40" i="7"/>
  <c r="K40" i="7"/>
  <c r="O40" i="7"/>
  <c r="S40" i="7"/>
  <c r="W40" i="7"/>
  <c r="AA40" i="7"/>
  <c r="AE40" i="7"/>
  <c r="C41" i="7"/>
  <c r="G41" i="7"/>
  <c r="K41" i="7"/>
  <c r="O41" i="7"/>
  <c r="S41" i="7"/>
  <c r="W41" i="7"/>
  <c r="AA41" i="7"/>
  <c r="AE41" i="7"/>
  <c r="C42" i="7"/>
  <c r="G42" i="7"/>
  <c r="K42" i="7"/>
  <c r="O42" i="7"/>
  <c r="S42" i="7"/>
  <c r="W42" i="7"/>
  <c r="AA42" i="7"/>
  <c r="AE42" i="7"/>
  <c r="C43" i="7"/>
  <c r="G43" i="7"/>
  <c r="K43" i="7"/>
  <c r="O43" i="7"/>
  <c r="S43" i="7"/>
  <c r="W43" i="7"/>
  <c r="AA43" i="7"/>
  <c r="AE43" i="7"/>
  <c r="C44" i="7"/>
  <c r="G44" i="7"/>
  <c r="K44" i="7"/>
  <c r="O44" i="7"/>
  <c r="S44" i="7"/>
  <c r="W44" i="7"/>
  <c r="AA44" i="7"/>
  <c r="AE44" i="7"/>
  <c r="C45" i="7"/>
  <c r="G45" i="7"/>
  <c r="K45" i="7"/>
  <c r="O45" i="7"/>
  <c r="S45" i="7"/>
  <c r="W45" i="7"/>
  <c r="AA45" i="7"/>
  <c r="AE45" i="7"/>
  <c r="C46" i="7"/>
  <c r="G46" i="7"/>
  <c r="K46" i="7"/>
  <c r="O46" i="7"/>
  <c r="S46" i="7"/>
  <c r="W46" i="7"/>
  <c r="AA46" i="7"/>
  <c r="AE46" i="7"/>
  <c r="C48" i="7"/>
  <c r="G48" i="7"/>
  <c r="K48" i="7"/>
  <c r="O48" i="7"/>
  <c r="S48" i="7"/>
  <c r="W48" i="7"/>
  <c r="AA48" i="7"/>
  <c r="AE48" i="7"/>
  <c r="C49" i="7"/>
  <c r="G49" i="7"/>
  <c r="K49" i="7"/>
  <c r="O49" i="7"/>
  <c r="S49" i="7"/>
  <c r="W49" i="7"/>
  <c r="AA49" i="7"/>
  <c r="AE49" i="7"/>
  <c r="C50" i="7"/>
  <c r="G50" i="7"/>
  <c r="K50" i="7"/>
  <c r="O50" i="7"/>
  <c r="S50" i="7"/>
  <c r="W50" i="7"/>
  <c r="AA50" i="7"/>
  <c r="AE50" i="7"/>
  <c r="C51" i="7"/>
  <c r="G51" i="7"/>
  <c r="K51" i="7"/>
  <c r="O51" i="7"/>
  <c r="S51" i="7"/>
  <c r="W51" i="7"/>
  <c r="AA51" i="7"/>
  <c r="AE51" i="7"/>
  <c r="C52" i="7"/>
  <c r="G52" i="7"/>
  <c r="K52" i="7"/>
  <c r="O52" i="7"/>
  <c r="S52" i="7"/>
  <c r="W52" i="7"/>
  <c r="AA52" i="7"/>
  <c r="AE52" i="7"/>
  <c r="C53" i="7"/>
  <c r="G53" i="7"/>
  <c r="K53" i="7"/>
  <c r="O53" i="7"/>
  <c r="S53" i="7"/>
  <c r="W53" i="7"/>
  <c r="AA53" i="7"/>
  <c r="AE53" i="7"/>
  <c r="C56" i="7"/>
  <c r="G56" i="7"/>
  <c r="K56" i="7"/>
  <c r="O56" i="7"/>
  <c r="S56" i="7"/>
  <c r="W56" i="7"/>
  <c r="AA56" i="7"/>
  <c r="AE56" i="7"/>
  <c r="C20" i="7"/>
  <c r="G20" i="7"/>
  <c r="K20" i="7"/>
  <c r="O20" i="7"/>
  <c r="S20" i="7"/>
  <c r="W20" i="7"/>
  <c r="AA20" i="7"/>
  <c r="AE20" i="7"/>
  <c r="C13" i="7"/>
  <c r="C14" i="7"/>
  <c r="G14" i="7"/>
  <c r="K14" i="7"/>
  <c r="O14" i="7"/>
  <c r="S14" i="7"/>
  <c r="W14" i="7"/>
  <c r="AA14" i="7"/>
  <c r="AE14" i="7"/>
  <c r="C16" i="7"/>
  <c r="G16" i="7"/>
  <c r="K16" i="7"/>
  <c r="O16" i="7"/>
  <c r="S16" i="7"/>
  <c r="W16" i="7"/>
  <c r="AA16" i="7"/>
  <c r="AE16" i="7"/>
  <c r="G13" i="7"/>
  <c r="K13" i="7"/>
  <c r="O13" i="7"/>
  <c r="S13" i="7"/>
  <c r="W13" i="7"/>
  <c r="AA13" i="7"/>
  <c r="AE13" i="7"/>
  <c r="C39" i="5"/>
  <c r="B39" i="5" s="1"/>
  <c r="L45" i="4" s="1"/>
  <c r="C31" i="5"/>
  <c r="C32" i="5" s="1"/>
  <c r="B32" i="5" s="1"/>
  <c r="J37" i="4" s="1"/>
  <c r="C28" i="5"/>
  <c r="C27" i="5" s="1"/>
  <c r="C41" i="5"/>
  <c r="B41" i="5" s="1"/>
  <c r="H49" i="4" s="1"/>
  <c r="L61" i="4" s="1"/>
  <c r="D8" i="5"/>
  <c r="D17" i="5"/>
  <c r="B55" i="5" s="1"/>
  <c r="B6" i="5"/>
  <c r="L15" i="4"/>
  <c r="B7" i="5"/>
  <c r="L17" i="4"/>
  <c r="B16" i="5"/>
  <c r="L21" i="4"/>
  <c r="B42" i="5"/>
  <c r="B43" i="5"/>
  <c r="B44" i="5"/>
  <c r="B45" i="5"/>
  <c r="B46" i="5"/>
  <c r="B47" i="5"/>
  <c r="B24" i="5"/>
  <c r="L26" i="4" s="1"/>
  <c r="B37" i="5"/>
  <c r="D16" i="6"/>
  <c r="F16" i="6" s="1"/>
  <c r="B35" i="5"/>
  <c r="L43" i="4" s="1"/>
  <c r="B29" i="5"/>
  <c r="H33" i="4" s="1"/>
  <c r="H188" i="4"/>
  <c r="J186" i="4"/>
  <c r="L186" i="4"/>
  <c r="J184" i="4"/>
  <c r="L184" i="4"/>
  <c r="J182" i="4"/>
  <c r="L182" i="4"/>
  <c r="J180" i="4"/>
  <c r="L180" i="4"/>
  <c r="J178" i="4"/>
  <c r="L178" i="4"/>
  <c r="J176" i="4"/>
  <c r="L176" i="4"/>
  <c r="J174" i="4"/>
  <c r="L174" i="4"/>
  <c r="J172" i="4"/>
  <c r="L172" i="4"/>
  <c r="J170" i="4"/>
  <c r="L170" i="4"/>
  <c r="J168" i="4"/>
  <c r="L168" i="4"/>
  <c r="J166" i="4"/>
  <c r="L166" i="4"/>
  <c r="J164" i="4"/>
  <c r="L164" i="4"/>
  <c r="J162" i="4"/>
  <c r="L162" i="4"/>
  <c r="J160" i="4"/>
  <c r="L160" i="4"/>
  <c r="J158" i="4"/>
  <c r="L158" i="4"/>
  <c r="J156" i="4"/>
  <c r="L156" i="4"/>
  <c r="J154" i="4"/>
  <c r="L154" i="4"/>
  <c r="J152" i="4"/>
  <c r="L152" i="4"/>
  <c r="J150" i="4"/>
  <c r="L150" i="4"/>
  <c r="J148" i="4"/>
  <c r="L148" i="4"/>
  <c r="L39" i="4"/>
  <c r="J35" i="4"/>
  <c r="L35" i="4" s="1"/>
  <c r="J31" i="4"/>
  <c r="L87" i="4"/>
  <c r="J188" i="4"/>
  <c r="G47" i="7" l="1"/>
  <c r="AD58" i="7"/>
  <c r="AE58" i="7" s="1"/>
  <c r="AD59" i="7"/>
  <c r="AH68" i="7"/>
  <c r="AH69" i="7" s="1"/>
  <c r="AH15" i="7" s="1"/>
  <c r="AM34" i="7"/>
  <c r="D16" i="13"/>
  <c r="E16" i="13" s="1"/>
  <c r="F16" i="13" s="1"/>
  <c r="L33" i="12"/>
  <c r="H174" i="12"/>
  <c r="AM36" i="7"/>
  <c r="AM38" i="7"/>
  <c r="AM20" i="7"/>
  <c r="AM56" i="7"/>
  <c r="AM53" i="7"/>
  <c r="AM52" i="7"/>
  <c r="AM51" i="7"/>
  <c r="AM50" i="7"/>
  <c r="AM49" i="7"/>
  <c r="AM46" i="7"/>
  <c r="AM45" i="7"/>
  <c r="AM44" i="7"/>
  <c r="AM43" i="7"/>
  <c r="AM42" i="7"/>
  <c r="AM41" i="7"/>
  <c r="AM40" i="7"/>
  <c r="AM39" i="7"/>
  <c r="G35" i="7"/>
  <c r="AM16" i="7"/>
  <c r="AM48" i="7"/>
  <c r="Z57" i="7"/>
  <c r="AM14" i="7"/>
  <c r="AM13" i="7"/>
  <c r="C47" i="7"/>
  <c r="B15" i="6"/>
  <c r="D15" i="6" s="1"/>
  <c r="F15" i="6" s="1"/>
  <c r="B11" i="6"/>
  <c r="D11" i="6" s="1"/>
  <c r="F11" i="6" s="1"/>
  <c r="L188" i="4"/>
  <c r="B27" i="5"/>
  <c r="C30" i="5"/>
  <c r="B30" i="5" s="1"/>
  <c r="L31" i="4"/>
  <c r="B31" i="5"/>
  <c r="H37" i="4" s="1"/>
  <c r="L37" i="4" s="1"/>
  <c r="B28" i="5"/>
  <c r="J33" i="4" s="1"/>
  <c r="J41" i="4" s="1"/>
  <c r="AA47" i="7"/>
  <c r="N21" i="7"/>
  <c r="N57" i="7" s="1"/>
  <c r="B13" i="6"/>
  <c r="D13" i="6" s="1"/>
  <c r="F13" i="6" s="1"/>
  <c r="R57" i="7"/>
  <c r="F57" i="7"/>
  <c r="AE21" i="7"/>
  <c r="AA21" i="7"/>
  <c r="C21" i="7"/>
  <c r="B57" i="7"/>
  <c r="AH17" i="7" l="1"/>
  <c r="AH61" i="7" s="1"/>
  <c r="AH62" i="7" s="1"/>
  <c r="AI15" i="7"/>
  <c r="AI17" i="7" s="1"/>
  <c r="AI61" i="7" s="1"/>
  <c r="AI62" i="7" s="1"/>
  <c r="N58" i="7"/>
  <c r="N59" i="7"/>
  <c r="O59" i="7" s="1"/>
  <c r="Z59" i="7"/>
  <c r="Z58" i="7"/>
  <c r="F59" i="7"/>
  <c r="F58" i="7"/>
  <c r="G58" i="7" s="1"/>
  <c r="B58" i="7"/>
  <c r="R58" i="7"/>
  <c r="R59" i="7"/>
  <c r="S59" i="7" s="1"/>
  <c r="J174" i="12"/>
  <c r="H175" i="12"/>
  <c r="H39" i="12" s="1"/>
  <c r="C59" i="7"/>
  <c r="G59" i="7"/>
  <c r="S58" i="7"/>
  <c r="AA59" i="7"/>
  <c r="AM47" i="7"/>
  <c r="B18" i="6"/>
  <c r="D18" i="6" s="1"/>
  <c r="F18" i="6" s="1"/>
  <c r="AA57" i="7"/>
  <c r="AE57" i="7"/>
  <c r="AE59" i="7"/>
  <c r="S57" i="7"/>
  <c r="O57" i="7"/>
  <c r="G57" i="7"/>
  <c r="C57" i="7"/>
  <c r="L33" i="4"/>
  <c r="H41" i="4"/>
  <c r="L41" i="4"/>
  <c r="L67" i="4" s="1"/>
  <c r="C26" i="5"/>
  <c r="O21" i="7"/>
  <c r="L174" i="12" l="1"/>
  <c r="L175" i="12" s="1"/>
  <c r="J175" i="12"/>
  <c r="J39" i="12" s="1"/>
  <c r="J41" i="12" s="1"/>
  <c r="H41" i="12"/>
  <c r="B60" i="7"/>
  <c r="C58" i="7"/>
  <c r="C60" i="7" s="1"/>
  <c r="B67" i="7" s="1"/>
  <c r="B68" i="7" s="1"/>
  <c r="S60" i="7"/>
  <c r="R67" i="7" s="1"/>
  <c r="R68" i="7" s="1"/>
  <c r="Z60" i="7"/>
  <c r="AA58" i="7"/>
  <c r="AA60" i="7" s="1"/>
  <c r="Z67" i="7" s="1"/>
  <c r="Z68" i="7" s="1"/>
  <c r="AD60" i="7"/>
  <c r="AE60" i="7"/>
  <c r="AD67" i="7" s="1"/>
  <c r="AD68" i="7" s="1"/>
  <c r="R60" i="7"/>
  <c r="N60" i="7"/>
  <c r="O58" i="7"/>
  <c r="O60" i="7" s="1"/>
  <c r="G60" i="7"/>
  <c r="F67" i="7" s="1"/>
  <c r="F68" i="7" s="1"/>
  <c r="F60" i="7"/>
  <c r="C49" i="5"/>
  <c r="B26" i="5"/>
  <c r="L77" i="4"/>
  <c r="L91" i="4"/>
  <c r="L41" i="12" l="1"/>
  <c r="L39" i="12"/>
  <c r="AD69" i="7"/>
  <c r="AD15" i="7" s="1"/>
  <c r="Z69" i="7"/>
  <c r="Z15" i="7" s="1"/>
  <c r="AA15" i="7" s="1"/>
  <c r="R69" i="7"/>
  <c r="R15" i="7" s="1"/>
  <c r="S15" i="7" s="1"/>
  <c r="F69" i="7"/>
  <c r="F15" i="7" s="1"/>
  <c r="G15" i="7" s="1"/>
  <c r="B69" i="7"/>
  <c r="B15" i="7" s="1"/>
  <c r="N67" i="7"/>
  <c r="N68" i="7" s="1"/>
  <c r="B49" i="5"/>
  <c r="B54" i="5"/>
  <c r="B56" i="5" s="1"/>
  <c r="AE15" i="7" l="1"/>
  <c r="AD17" i="7"/>
  <c r="Z17" i="7"/>
  <c r="AA17" i="7" s="1"/>
  <c r="AA61" i="7" s="1"/>
  <c r="AA62" i="7" s="1"/>
  <c r="F17" i="7"/>
  <c r="G17" i="7" s="1"/>
  <c r="G61" i="7" s="1"/>
  <c r="G62" i="7" s="1"/>
  <c r="R17" i="7"/>
  <c r="S17" i="7" s="1"/>
  <c r="S61" i="7" s="1"/>
  <c r="S62" i="7" s="1"/>
  <c r="N69" i="7"/>
  <c r="N15" i="7" s="1"/>
  <c r="C15" i="7"/>
  <c r="B17" i="7"/>
  <c r="B61" i="7" s="1"/>
  <c r="B62" i="7" s="1"/>
  <c r="D68" i="5"/>
  <c r="C15" i="5" s="1"/>
  <c r="B15" i="5" s="1"/>
  <c r="D67" i="5"/>
  <c r="C14" i="5" s="1"/>
  <c r="B14" i="5" s="1"/>
  <c r="D63" i="5"/>
  <c r="C10" i="5" s="1"/>
  <c r="B10" i="5" s="1"/>
  <c r="D62" i="5"/>
  <c r="C9" i="5" s="1"/>
  <c r="D64" i="5"/>
  <c r="C11" i="5" s="1"/>
  <c r="B11" i="5" s="1"/>
  <c r="D66" i="5"/>
  <c r="C13" i="5" s="1"/>
  <c r="B13" i="5" s="1"/>
  <c r="D65" i="5"/>
  <c r="C12" i="5" s="1"/>
  <c r="B12" i="5" s="1"/>
  <c r="R61" i="7" l="1"/>
  <c r="R62" i="7" s="1"/>
  <c r="AE17" i="7"/>
  <c r="AE61" i="7" s="1"/>
  <c r="AE62" i="7" s="1"/>
  <c r="AD61" i="7"/>
  <c r="AD62" i="7" s="1"/>
  <c r="Z61" i="7"/>
  <c r="Z62" i="7" s="1"/>
  <c r="F61" i="7"/>
  <c r="F62" i="7" s="1"/>
  <c r="C17" i="7"/>
  <c r="C61" i="7" s="1"/>
  <c r="C62" i="7" s="1"/>
  <c r="O15" i="7"/>
  <c r="N17" i="7"/>
  <c r="N61" i="7" s="1"/>
  <c r="N62" i="7" s="1"/>
  <c r="C8" i="5"/>
  <c r="B9" i="5"/>
  <c r="O17" i="7" l="1"/>
  <c r="O61" i="7" s="1"/>
  <c r="O62" i="7" s="1"/>
  <c r="B8" i="5"/>
  <c r="C17" i="5"/>
  <c r="L19" i="4" l="1"/>
  <c r="L23" i="4" s="1"/>
  <c r="B17" i="5"/>
  <c r="L85" i="4" l="1"/>
  <c r="L89" i="4" s="1"/>
  <c r="L95" i="4" s="1"/>
  <c r="L73" i="4"/>
  <c r="L79" i="4" s="1"/>
  <c r="J21" i="7"/>
  <c r="K21" i="7" l="1"/>
  <c r="B14" i="6" l="1"/>
  <c r="D14" i="6" l="1"/>
  <c r="B12" i="6"/>
  <c r="V21" i="7"/>
  <c r="D13" i="13" s="1"/>
  <c r="E13" i="13" l="1"/>
  <c r="V57" i="7"/>
  <c r="W21" i="7"/>
  <c r="AM21" i="7" s="1"/>
  <c r="D12" i="6"/>
  <c r="F14" i="6"/>
  <c r="F12" i="6" s="1"/>
  <c r="V58" i="7" l="1"/>
  <c r="V59" i="7"/>
  <c r="F13" i="13"/>
  <c r="W59" i="7"/>
  <c r="W57" i="7"/>
  <c r="V60" i="7" l="1"/>
  <c r="W58" i="7"/>
  <c r="W60" i="7" s="1"/>
  <c r="V67" i="7" s="1"/>
  <c r="V68" i="7" s="1"/>
  <c r="J35" i="7"/>
  <c r="AL35" i="7" s="1"/>
  <c r="D14" i="13" s="1"/>
  <c r="E14" i="13" l="1"/>
  <c r="D18" i="13"/>
  <c r="L45" i="12"/>
  <c r="AL57" i="7"/>
  <c r="AL59" i="7" s="1"/>
  <c r="V69" i="7"/>
  <c r="V15" i="7" s="1"/>
  <c r="J57" i="7"/>
  <c r="K35" i="7"/>
  <c r="AM35" i="7" s="1"/>
  <c r="J58" i="7" l="1"/>
  <c r="J59" i="7"/>
  <c r="AL58" i="7"/>
  <c r="L68" i="12"/>
  <c r="L72" i="12" s="1"/>
  <c r="D19" i="13"/>
  <c r="D20" i="13"/>
  <c r="F14" i="13"/>
  <c r="F18" i="13" s="1"/>
  <c r="E18" i="13"/>
  <c r="W15" i="7"/>
  <c r="V17" i="7"/>
  <c r="W17" i="7" s="1"/>
  <c r="W61" i="7" s="1"/>
  <c r="W62" i="7" s="1"/>
  <c r="K59" i="7"/>
  <c r="K58" i="7"/>
  <c r="AM57" i="7"/>
  <c r="K57" i="7"/>
  <c r="B17" i="6"/>
  <c r="AL60" i="7" l="1"/>
  <c r="F19" i="13"/>
  <c r="F20" i="13"/>
  <c r="E19" i="13"/>
  <c r="E20" i="13"/>
  <c r="L179" i="12"/>
  <c r="L193" i="12" s="1"/>
  <c r="L195" i="12" s="1"/>
  <c r="AM58" i="7"/>
  <c r="V61" i="7"/>
  <c r="V62" i="7" s="1"/>
  <c r="AM59" i="7"/>
  <c r="J60" i="7"/>
  <c r="K60" i="7"/>
  <c r="B19" i="6"/>
  <c r="D17" i="6"/>
  <c r="L70" i="12" l="1"/>
  <c r="L74" i="12" s="1"/>
  <c r="J67" i="7"/>
  <c r="J68" i="7" s="1"/>
  <c r="AM60" i="7"/>
  <c r="F17" i="6"/>
  <c r="F19" i="6" s="1"/>
  <c r="D19" i="6"/>
  <c r="L98" i="12" l="1"/>
  <c r="L84" i="12"/>
  <c r="J69" i="7"/>
  <c r="J15" i="7" s="1"/>
  <c r="J17" i="7" l="1"/>
  <c r="K17" i="7" s="1"/>
  <c r="K61" i="7" s="1"/>
  <c r="K62" i="7" s="1"/>
  <c r="K15" i="7"/>
  <c r="AM15" i="7" s="1"/>
  <c r="AL15" i="7"/>
  <c r="L15" i="12" l="1"/>
  <c r="L23" i="12" s="1"/>
  <c r="L80" i="12" s="1"/>
  <c r="L86" i="12" s="1"/>
  <c r="D8" i="13"/>
  <c r="J61" i="7"/>
  <c r="J62" i="7" s="1"/>
  <c r="AL17" i="7"/>
  <c r="AL61" i="7" s="1"/>
  <c r="AL62" i="7" s="1"/>
  <c r="L92" i="12" l="1"/>
  <c r="L96" i="12" s="1"/>
  <c r="L102" i="12" s="1"/>
  <c r="E8" i="13"/>
  <c r="D10" i="13"/>
  <c r="D21" i="13" s="1"/>
  <c r="E6" i="13" s="1"/>
  <c r="AM17" i="7"/>
  <c r="AM61" i="7" s="1"/>
  <c r="AM62" i="7" s="1"/>
  <c r="B8" i="6"/>
  <c r="B21" i="6" s="1"/>
  <c r="D6" i="6" s="1"/>
  <c r="F8" i="13" l="1"/>
  <c r="F10" i="13" s="1"/>
  <c r="E10" i="13"/>
  <c r="E21" i="13" s="1"/>
  <c r="F6" i="13" s="1"/>
  <c r="D8" i="6"/>
  <c r="F8" i="6" s="1"/>
  <c r="F21" i="13" l="1"/>
  <c r="D21" i="6"/>
  <c r="F6" i="6" s="1"/>
  <c r="F21" i="6" s="1"/>
  <c r="U22" i="7"/>
  <c r="AG22" i="7"/>
  <c r="Y22" i="7"/>
  <c r="I22" i="7"/>
  <c r="AC22" i="7"/>
  <c r="AK22" i="7"/>
  <c r="Q22" i="7"/>
  <c r="E22" i="7"/>
  <c r="A22" i="7"/>
  <c r="M22" i="7"/>
  <c r="M28" i="7"/>
  <c r="AG28" i="7"/>
  <c r="AC28" i="7"/>
  <c r="E28" i="7"/>
  <c r="U28" i="7"/>
  <c r="Y28" i="7"/>
  <c r="I28" i="7"/>
  <c r="Q28" i="7"/>
  <c r="A28" i="7"/>
  <c r="AK28" i="7"/>
  <c r="Y30" i="7"/>
  <c r="AG30" i="7"/>
  <c r="U30" i="7"/>
  <c r="AC30" i="7"/>
  <c r="I30" i="7"/>
  <c r="E30" i="7"/>
  <c r="AK30" i="7"/>
  <c r="M30" i="7"/>
  <c r="A30" i="7"/>
  <c r="Q30" i="7"/>
  <c r="AK27" i="7"/>
  <c r="E27" i="7"/>
  <c r="M27" i="7"/>
  <c r="I27" i="7"/>
  <c r="AG27" i="7"/>
  <c r="Q27" i="7"/>
  <c r="AC27" i="7"/>
  <c r="U27" i="7"/>
  <c r="A27" i="7"/>
  <c r="Y27" i="7"/>
  <c r="Q24" i="7"/>
  <c r="E24" i="7"/>
  <c r="M24" i="7"/>
  <c r="AK24" i="7"/>
  <c r="U24" i="7"/>
  <c r="AG24" i="7"/>
  <c r="Y24" i="7"/>
  <c r="AC24" i="7"/>
  <c r="A24" i="7"/>
  <c r="I24" i="7"/>
  <c r="AC34" i="7"/>
  <c r="Q34" i="7"/>
  <c r="I34" i="7"/>
  <c r="M34" i="7"/>
  <c r="AK34" i="7"/>
  <c r="U34" i="7"/>
  <c r="Y34" i="7"/>
  <c r="E34" i="7"/>
  <c r="A34" i="7"/>
  <c r="AG34" i="7"/>
  <c r="AC33" i="7"/>
  <c r="E33" i="7"/>
  <c r="Q33" i="7"/>
  <c r="M33" i="7"/>
  <c r="AK33" i="7"/>
  <c r="Y33" i="7"/>
  <c r="U33" i="7"/>
  <c r="AG33" i="7"/>
  <c r="A33" i="7"/>
  <c r="I33" i="7"/>
  <c r="AC25" i="7"/>
  <c r="Y25" i="7"/>
  <c r="M25" i="7"/>
  <c r="AG25" i="7"/>
  <c r="I25" i="7"/>
  <c r="AK25" i="7"/>
  <c r="U25" i="7"/>
  <c r="E25" i="7"/>
  <c r="A25" i="7"/>
  <c r="Q25" i="7"/>
  <c r="U26" i="7"/>
  <c r="AC26" i="7"/>
  <c r="AK26" i="7"/>
  <c r="AG26" i="7"/>
  <c r="E26" i="7"/>
  <c r="I26" i="7"/>
  <c r="M26" i="7"/>
  <c r="Y26" i="7"/>
  <c r="A26" i="7"/>
  <c r="Q26" i="7"/>
  <c r="Q29" i="7"/>
  <c r="E29" i="7"/>
  <c r="AK29" i="7"/>
  <c r="I29" i="7"/>
  <c r="M29" i="7"/>
  <c r="AC29" i="7"/>
  <c r="AG29" i="7"/>
  <c r="Y29" i="7"/>
  <c r="A29" i="7"/>
  <c r="U29" i="7"/>
  <c r="AK31" i="7"/>
  <c r="Y31" i="7"/>
  <c r="I31" i="7"/>
  <c r="AC31" i="7"/>
  <c r="M31" i="7"/>
  <c r="U31" i="7"/>
  <c r="AG31" i="7"/>
  <c r="Q31" i="7"/>
  <c r="A31" i="7"/>
  <c r="E31" i="7"/>
  <c r="M23" i="7"/>
  <c r="AG23" i="7"/>
  <c r="Q23" i="7"/>
  <c r="E23" i="7"/>
  <c r="U23" i="7"/>
  <c r="Y23" i="7"/>
  <c r="AC23" i="7"/>
  <c r="I23" i="7"/>
  <c r="A23" i="7"/>
  <c r="AK23" i="7"/>
  <c r="E32" i="7"/>
  <c r="AC32" i="7"/>
  <c r="M32" i="7"/>
  <c r="U32" i="7"/>
  <c r="Q32" i="7"/>
  <c r="AK32" i="7"/>
  <c r="AG32" i="7"/>
  <c r="Y32" i="7"/>
  <c r="A32" i="7"/>
  <c r="I32" i="7"/>
</calcChain>
</file>

<file path=xl/sharedStrings.xml><?xml version="1.0" encoding="utf-8"?>
<sst xmlns="http://schemas.openxmlformats.org/spreadsheetml/2006/main" count="793" uniqueCount="394">
  <si>
    <t>Revenues</t>
  </si>
  <si>
    <t>Annual</t>
  </si>
  <si>
    <t>Monthly</t>
  </si>
  <si>
    <t xml:space="preserve"> Sales to External Customers </t>
  </si>
  <si>
    <t xml:space="preserve"> Sales to Related 22 Accounts </t>
  </si>
  <si>
    <t xml:space="preserve"> Sales to Internal Customers </t>
  </si>
  <si>
    <t xml:space="preserve"> Other Revenues </t>
  </si>
  <si>
    <t xml:space="preserve"> Total Revenues </t>
  </si>
  <si>
    <t xml:space="preserve"> Expenses </t>
  </si>
  <si>
    <t xml:space="preserve"> Cost of Goods Sold </t>
  </si>
  <si>
    <t xml:space="preserve"> Travel </t>
  </si>
  <si>
    <t xml:space="preserve"> Other Operating Expenses </t>
  </si>
  <si>
    <t xml:space="preserve"> Total Expenses </t>
  </si>
  <si>
    <t>Three-Year Projection</t>
  </si>
  <si>
    <t>FY15</t>
  </si>
  <si>
    <t>FY16</t>
  </si>
  <si>
    <t>Beginning  Fund Balance</t>
  </si>
  <si>
    <t>Expenses</t>
  </si>
  <si>
    <t>Salaries</t>
  </si>
  <si>
    <t>Base Salary</t>
  </si>
  <si>
    <t>Fringe</t>
  </si>
  <si>
    <t>Depreciation</t>
  </si>
  <si>
    <t>Other Direct Costs</t>
  </si>
  <si>
    <t>Total Costs</t>
  </si>
  <si>
    <t>Fund Balances at June 30</t>
  </si>
  <si>
    <t>Costs of Goods Sold</t>
  </si>
  <si>
    <t>Travel</t>
  </si>
  <si>
    <t>Other Operating Expenses</t>
  </si>
  <si>
    <t>Equipment</t>
  </si>
  <si>
    <t>Recharge Center 21</t>
  </si>
  <si>
    <t>Instructions:</t>
  </si>
  <si>
    <t xml:space="preserve">1.  Cells with 0.00 have formulas for automatic calculations.  </t>
  </si>
  <si>
    <t xml:space="preserve"> Fund Budget Request</t>
  </si>
  <si>
    <t>2.  Delete formulas if you do not want to use the automatic calculations.</t>
  </si>
  <si>
    <t xml:space="preserve">   Fiscal Year 2013 -2014</t>
  </si>
  <si>
    <t>3.  Fill in the information requested and check your figures for accuracy.</t>
  </si>
  <si>
    <t>4.  Attach current billing rate calculation and any changes to the business plan.</t>
  </si>
  <si>
    <t>5.  Send completed form to Campus Services --Campus Mail Dept 6003</t>
  </si>
  <si>
    <r>
      <t>Account Title</t>
    </r>
    <r>
      <rPr>
        <u/>
        <sz val="12"/>
        <rFont val="Arial"/>
        <family val="2"/>
      </rPr>
      <t xml:space="preserve">                                                                                                                                </t>
    </r>
  </si>
  <si>
    <r>
      <t xml:space="preserve">Dept. No. </t>
    </r>
    <r>
      <rPr>
        <u/>
        <sz val="12"/>
        <rFont val="Arial"/>
        <family val="2"/>
      </rPr>
      <t xml:space="preserve">                        </t>
    </r>
  </si>
  <si>
    <t xml:space="preserve">Account No. </t>
  </si>
  <si>
    <t>Phone No.</t>
  </si>
  <si>
    <t xml:space="preserve">Dept. Contact For Accounting Issues </t>
  </si>
  <si>
    <t>Associated 22- Fund Educational Business Activities Account No.</t>
  </si>
  <si>
    <t>A.  REVENUES</t>
  </si>
  <si>
    <t>1.  Sales to External Customers (4380)</t>
  </si>
  <si>
    <t>(Provide explanation on page 3.)(Please round to the nearest $0,000)</t>
  </si>
  <si>
    <t>2.  Sales to Related 22 Accounts (4702)</t>
  </si>
  <si>
    <t xml:space="preserve">3.  Sales to Internal Customers (4800) </t>
  </si>
  <si>
    <t>4.  Other Revenues</t>
  </si>
  <si>
    <t>Object Code</t>
  </si>
  <si>
    <t>5.</t>
  </si>
  <si>
    <t>TOTAL REVENUES</t>
  </si>
  <si>
    <t>(Automatic Calculation)</t>
  </si>
  <si>
    <t>B.  EXPENDITURES</t>
  </si>
  <si>
    <t>6.   Cost of Goods Sold (7000-7007)</t>
  </si>
  <si>
    <t>Note: Only use this if you have inventory recorded on KFS.</t>
  </si>
  <si>
    <t>7.   Salaries</t>
  </si>
  <si>
    <t>Rate</t>
  </si>
  <si>
    <t xml:space="preserve">       a.  Faculty (5000)</t>
  </si>
  <si>
    <t xml:space="preserve">       b.  Admin Prof (5100)</t>
  </si>
  <si>
    <t xml:space="preserve">       h.  State Classified (5400)</t>
  </si>
  <si>
    <t xml:space="preserve">       n.  Student Hourly (5600)</t>
  </si>
  <si>
    <t xml:space="preserve">       d.  Other (See Multiple Salary Table Page 3.)</t>
  </si>
  <si>
    <t xml:space="preserve">       Total Salaries and Fringe</t>
  </si>
  <si>
    <t>8.   Travel (6000)  (Provide explanation of page 3.)</t>
  </si>
  <si>
    <t>9.  Other Operating Expenses (6200)</t>
  </si>
  <si>
    <t xml:space="preserve">10.  Other Direct Costs </t>
  </si>
  <si>
    <t xml:space="preserve">       </t>
  </si>
  <si>
    <t xml:space="preserve">       a.  Services</t>
  </si>
  <si>
    <t xml:space="preserve">       b.  Equipment Rental</t>
  </si>
  <si>
    <t xml:space="preserve">       c.  Graduate Tuition</t>
  </si>
  <si>
    <t xml:space="preserve">       d.  Depreciation</t>
  </si>
  <si>
    <t xml:space="preserve">       e.  Inventory Adjustments</t>
  </si>
  <si>
    <t xml:space="preserve">       f.  Other (Please explain on Page 3.)</t>
  </si>
  <si>
    <t xml:space="preserve">            </t>
  </si>
  <si>
    <t>Total Other Direct Costs (6600)</t>
  </si>
  <si>
    <t>11.  Utilities (7800)</t>
  </si>
  <si>
    <t>12.  Leased Equipment (8100)</t>
  </si>
  <si>
    <t>13.</t>
  </si>
  <si>
    <t>TOTAL EXPENDITURES</t>
  </si>
  <si>
    <t>C.  FUND BALANCE</t>
  </si>
  <si>
    <t xml:space="preserve">       Beginning Fund Balance (as of July 1, 2013)</t>
  </si>
  <si>
    <t xml:space="preserve">       Plus: </t>
  </si>
  <si>
    <t>Revenues (from line 5.)</t>
  </si>
  <si>
    <t xml:space="preserve">       Plus:</t>
  </si>
  <si>
    <t xml:space="preserve">Subsidies/Transfers-In from Other Funding Sources (if applicable) </t>
  </si>
  <si>
    <t xml:space="preserve">       Less:</t>
  </si>
  <si>
    <t>Expenditures (from line15.)</t>
  </si>
  <si>
    <t xml:space="preserve">       Ending Fund Balance (as of June 30, 2014)**</t>
  </si>
  <si>
    <t>D.  CASH BALANCE</t>
  </si>
  <si>
    <t xml:space="preserve">       Beginning Cash Balance (as of July 1, 2013)</t>
  </si>
  <si>
    <t>Total Cash Available</t>
  </si>
  <si>
    <t>Expenditures (Line15. Total Expenditures less Depreciation line 10d.)</t>
  </si>
  <si>
    <t>Acquisition of New Equipment</t>
  </si>
  <si>
    <t xml:space="preserve">       Ending Cash Balance (as of June 30, 2014) </t>
  </si>
  <si>
    <t>**Note:</t>
  </si>
  <si>
    <t>If either the Ending Fund Balance appears as a deficit, include a corrective action plan and subsidized account.</t>
  </si>
  <si>
    <t>APPROVAL SIGNATURES:</t>
  </si>
  <si>
    <t>(Please sign and print name.)</t>
  </si>
  <si>
    <t>The College/Department will take responsibility for any deficit in this account.</t>
  </si>
  <si>
    <t>Originator</t>
  </si>
  <si>
    <t>(Signature)</t>
  </si>
  <si>
    <t>(Print Name)</t>
  </si>
  <si>
    <t>Date</t>
  </si>
  <si>
    <t>Fiscal Officer</t>
  </si>
  <si>
    <t>Department Head or Director</t>
  </si>
  <si>
    <t>Dean or Vice President or</t>
  </si>
  <si>
    <t>College Business Officer</t>
  </si>
  <si>
    <t>Campus Services</t>
  </si>
  <si>
    <t xml:space="preserve">               RECHARGE CENTER 21 FUND BUDGET REQUEST SUPPLEMENT</t>
  </si>
  <si>
    <t>Please use the lines below for narrative explanations.</t>
  </si>
  <si>
    <t>Briefly explain Sales to External Customers (4380) (From line 1., page 1.):</t>
  </si>
  <si>
    <t>Briefly explain Other Revenues (From line 4., page 1.):</t>
  </si>
  <si>
    <t>Briefly explain how travel relates to the account activity.  Is the traveler's salary charged to this account?  (From line 8., page1.)</t>
  </si>
  <si>
    <t>Use the table below if multiple salary types are charged to this activity:</t>
  </si>
  <si>
    <t>6.   Multiple Salary Table</t>
  </si>
  <si>
    <t xml:space="preserve">      a.  Faculty (5000)</t>
  </si>
  <si>
    <t xml:space="preserve">      b.  Admin Prof (5100)</t>
  </si>
  <si>
    <t xml:space="preserve">      c.  Federal Faculty (5200)</t>
  </si>
  <si>
    <t xml:space="preserve">      d.  Federal Admin Prof (5250)</t>
  </si>
  <si>
    <t xml:space="preserve">      e.  Grad Res Asst (5300)</t>
  </si>
  <si>
    <t xml:space="preserve">      f.  Grad Supp Asst (5320)</t>
  </si>
  <si>
    <t xml:space="preserve">      g.  Grad Teach Asst (5340)</t>
  </si>
  <si>
    <t xml:space="preserve">      h.  State Classified (5400)</t>
  </si>
  <si>
    <t xml:space="preserve">      i.  1st Yr Temp Faculty (5500)</t>
  </si>
  <si>
    <t xml:space="preserve">      j. 2nd Yr + Temp Faculty (5590)</t>
  </si>
  <si>
    <t xml:space="preserve">      k.  1st Yr Temp Admin Pro (5540) </t>
  </si>
  <si>
    <t xml:space="preserve">      l. 2nd Yr + Temp Admin Pro (5590)</t>
  </si>
  <si>
    <t xml:space="preserve">      m. 1st Yr Temp Support (5500)</t>
  </si>
  <si>
    <t xml:space="preserve">      n. 2nd Yr + Temp Support (5590)</t>
  </si>
  <si>
    <t xml:space="preserve">      o. 1st Yr Post Doc, VI, CPI (5550)</t>
  </si>
  <si>
    <t xml:space="preserve">      p. 2nd Yr + Post Doc, VI, CPI (5590)</t>
  </si>
  <si>
    <t xml:space="preserve">      q.  Temp Support (5560) </t>
  </si>
  <si>
    <t xml:space="preserve">      r.  Student Hourly (5600)</t>
  </si>
  <si>
    <t xml:space="preserve">      s.  Workstudy Hourly (5650)</t>
  </si>
  <si>
    <t xml:space="preserve">      t.  Misc Exp/Allow (5700)</t>
  </si>
  <si>
    <t>Total Salaries and Fringe</t>
  </si>
  <si>
    <t xml:space="preserve">Other:  Please use this area to explain any changes in your account activity or business plan.  Use additional </t>
  </si>
  <si>
    <t>paper if necessary.   Be sure to include a copy of your projected billing rate calculation with your budget request.</t>
  </si>
  <si>
    <t>Corrine Lindstadt</t>
  </si>
  <si>
    <t>1-6531</t>
  </si>
  <si>
    <t>Becky Trentlage</t>
  </si>
  <si>
    <t>(FY15 - FY17)</t>
  </si>
  <si>
    <t>FY17</t>
  </si>
  <si>
    <t>Dana Schwartz</t>
  </si>
  <si>
    <t>Erin Mercurio</t>
  </si>
  <si>
    <t>Sherry Wemott-Colton</t>
  </si>
  <si>
    <t>Dishroom Billing Rate Calculation
(FY15 based on FY14)</t>
  </si>
  <si>
    <t>Ad Pro</t>
  </si>
  <si>
    <t xml:space="preserve"> </t>
  </si>
  <si>
    <t>Student Hourlies</t>
  </si>
  <si>
    <t>Hourly Wages</t>
  </si>
  <si>
    <t>Services</t>
  </si>
  <si>
    <t>Total Salary</t>
  </si>
  <si>
    <t>Equipment Rental</t>
  </si>
  <si>
    <t>Graduate Tuition</t>
  </si>
  <si>
    <t>Inventory Adjustments</t>
  </si>
  <si>
    <t>Other</t>
  </si>
  <si>
    <t>AC: glassware, pipets, and pipet-tip</t>
  </si>
  <si>
    <t>AC: liquids</t>
  </si>
  <si>
    <t>AC: biohazard bags</t>
  </si>
  <si>
    <t>Dishwasher use for glassware/processing</t>
  </si>
  <si>
    <t>Handwashing/special handling</t>
  </si>
  <si>
    <t>Lab mopping</t>
  </si>
  <si>
    <t>Billing Rate Calculation</t>
  </si>
  <si>
    <t>Total Monthly Average Time</t>
  </si>
  <si>
    <t>Average Time per Month on Activity in Hours</t>
  </si>
  <si>
    <t>Monthly Total Expenses</t>
  </si>
  <si>
    <t>Billing Rate per Hour</t>
  </si>
  <si>
    <t>Separate Activity Billing Rate Calculations</t>
  </si>
  <si>
    <t>Activity</t>
  </si>
  <si>
    <t>Time for each Activity (in hours)</t>
  </si>
  <si>
    <t>Revenues are projected to increase by 3% as the customer-base becomes more established.</t>
  </si>
  <si>
    <t>All expenses are projected with a 3% increase.</t>
  </si>
  <si>
    <t>To Be Determined</t>
  </si>
  <si>
    <t>Dish Room Recharge Center Business Plan</t>
  </si>
  <si>
    <t>None</t>
  </si>
  <si>
    <t>In the event of a deficit, the primary account number to be charged is 1471250</t>
  </si>
  <si>
    <t>MilliQ Use</t>
  </si>
  <si>
    <t>Billing Rate per Use</t>
  </si>
  <si>
    <t>Fringe  (25.4%)</t>
  </si>
  <si>
    <t>Hourly Fringe (.8%)</t>
  </si>
  <si>
    <t>Colton, Sherry (6.25% effort)</t>
  </si>
  <si>
    <t>Sales to External Customers</t>
  </si>
  <si>
    <t>Sales to Related 22 Accounts</t>
  </si>
  <si>
    <t>Sales to Internal Customers</t>
  </si>
  <si>
    <t>Other Revenues</t>
  </si>
  <si>
    <t>Total Revenues</t>
  </si>
  <si>
    <t>Cost of Goods Sold</t>
  </si>
  <si>
    <t>Service Contract</t>
  </si>
  <si>
    <t>Utilities</t>
  </si>
  <si>
    <t>Total Expenses</t>
  </si>
  <si>
    <t>Billing Periods (Months)</t>
  </si>
  <si>
    <t>Disinfectant</t>
  </si>
  <si>
    <t>Paper Towels</t>
  </si>
  <si>
    <t>Overall Summary</t>
  </si>
  <si>
    <t>Notes:</t>
  </si>
  <si>
    <t>Hourly Rate</t>
  </si>
  <si>
    <t>Admin Pro Employees</t>
  </si>
  <si>
    <t>Annual Salary</t>
  </si>
  <si>
    <t>Student Hourly Employees</t>
  </si>
  <si>
    <t>Non-Student Hourly Employees</t>
  </si>
  <si>
    <t>Employee Information</t>
  </si>
  <si>
    <t>Academic Faculty</t>
  </si>
  <si>
    <t>State Classified</t>
  </si>
  <si>
    <t>Graduate Assistants &amp; Predoc Fellows</t>
  </si>
  <si>
    <r>
      <t xml:space="preserve">Activity Designation for Billing Rate </t>
    </r>
    <r>
      <rPr>
        <sz val="11"/>
        <rFont val="Calibri"/>
        <family val="2"/>
        <scheme val="minor"/>
      </rPr>
      <t>(# of Tests/Samples, # of Widgets, # of Animals, etc.)</t>
    </r>
  </si>
  <si>
    <t xml:space="preserve">      j.  1st Yr Temp Admin Pro (5540) </t>
  </si>
  <si>
    <t xml:space="preserve">      k. 1st Yr Temp Support (5500)</t>
  </si>
  <si>
    <t xml:space="preserve">      l.  Temp Support (5560) </t>
  </si>
  <si>
    <t xml:space="preserve">     m.  Student Hourly (5600)</t>
  </si>
  <si>
    <t xml:space="preserve">     n.  Workstudy Hourly (5650)</t>
  </si>
  <si>
    <t xml:space="preserve">     o.  Misc Exp/Allow (5700)</t>
  </si>
  <si>
    <t>Fringe Rate 
% for Specific FY</t>
  </si>
  <si>
    <t>TOTAL STATE CLASSIFIED</t>
  </si>
  <si>
    <t>TOTAL STUDENT HRLY</t>
  </si>
  <si>
    <t>TOTAL GA &amp; PREDOC FELLOWS</t>
  </si>
  <si>
    <t>TOTAL ADMIN PRO</t>
  </si>
  <si>
    <t>TOTAL ACADEMIC FACULTY</t>
  </si>
  <si>
    <t>You can  add other categories of employees as needed, based on your business plan.</t>
  </si>
  <si>
    <t xml:space="preserve">Note that in columns F-M you would change these to match your Billing Rates and what type of activity those Billing Rates are based on.  You will also need to create the </t>
  </si>
  <si>
    <t>Total Salary + Fringe</t>
  </si>
  <si>
    <t>TOTAL NON-STUDENT HRLY</t>
  </si>
  <si>
    <t>formula in the cells when you have an employee that works on a particular Billing Rate.</t>
  </si>
  <si>
    <t>Need to specify what activity the BR is based on</t>
  </si>
  <si>
    <t>Copier Lease</t>
  </si>
  <si>
    <t>Other Services</t>
  </si>
  <si>
    <t># of Hr</t>
  </si>
  <si>
    <t>Acct #22xxxxx Account Name Labor Calculations</t>
  </si>
  <si>
    <r>
      <t xml:space="preserve">Net Profit </t>
    </r>
    <r>
      <rPr>
        <b/>
        <sz val="11"/>
        <color rgb="FFFF0000"/>
        <rFont val="Calibri"/>
        <family val="2"/>
        <scheme val="minor"/>
      </rPr>
      <t>(Loss)</t>
    </r>
  </si>
  <si>
    <t>Educational Business Activities-22</t>
  </si>
  <si>
    <t xml:space="preserve">   Fund Budget Request</t>
  </si>
  <si>
    <t xml:space="preserve">Dept. Contact For Accounting Issues:  </t>
  </si>
  <si>
    <t>Associated Recharge Center 21-Fund Account Number (if applicable)</t>
  </si>
  <si>
    <r>
      <t>A.  REVENUES (</t>
    </r>
    <r>
      <rPr>
        <b/>
        <i/>
        <u/>
        <sz val="12"/>
        <rFont val="Arial"/>
        <family val="2"/>
      </rPr>
      <t>Please round to the nearest $0,000</t>
    </r>
    <r>
      <rPr>
        <b/>
        <sz val="10"/>
        <rFont val="Arial"/>
        <family val="2"/>
      </rPr>
      <t>)</t>
    </r>
  </si>
  <si>
    <t>(round to the nearest $1,000)</t>
  </si>
  <si>
    <t xml:space="preserve">      Total Salaries and Fringe</t>
  </si>
  <si>
    <t xml:space="preserve">       d.  Unrelated Income Tax</t>
  </si>
  <si>
    <t xml:space="preserve">       e.  Costs of Services Provided by 21 Accounts</t>
  </si>
  <si>
    <t>13.  Subtotal Expenditures</t>
  </si>
  <si>
    <t xml:space="preserve">If either the Ending Cash Balance or Ending Fund Balance appear as a deficit, </t>
  </si>
  <si>
    <t xml:space="preserve">    EDUCATIONAL BUSINESS ACTIVITIES 22 FUND BUDGET REQUEST SUPPLEMENT</t>
  </si>
  <si>
    <t xml:space="preserve">     o.  Non-Student Hourly (5580)</t>
  </si>
  <si>
    <t>Worksheet for calculation of 22.5% University G&amp;A Overhead:</t>
  </si>
  <si>
    <t xml:space="preserve">      Subtract  Expenditures not Subject to University G&amp;A Overhead:</t>
  </si>
  <si>
    <t>a.</t>
  </si>
  <si>
    <t>b.</t>
  </si>
  <si>
    <t>c.</t>
  </si>
  <si>
    <t>d.</t>
  </si>
  <si>
    <t xml:space="preserve">Less:  Subtotal Expenditures not subject to University G&amp;A Overhead </t>
  </si>
  <si>
    <t xml:space="preserve">     Total Expenditures Subject to University G&amp;A Overhead</t>
  </si>
  <si>
    <t xml:space="preserve">     Expenditures Subject to University G&amp;A Overhead Times 22.5%</t>
  </si>
  <si>
    <t>Enter this amount on line 14. University G&amp;A Overhead.</t>
  </si>
  <si>
    <t>Lab Supplies</t>
  </si>
  <si>
    <t xml:space="preserve">G&amp;A - 22.5% </t>
  </si>
  <si>
    <t>Admin Prof (5100)</t>
  </si>
  <si>
    <t>Faculty (5000)</t>
  </si>
  <si>
    <t>Federal Faculty (5200)</t>
  </si>
  <si>
    <t>Federal Admin Prof (5250)</t>
  </si>
  <si>
    <t>Grad Res Asst (5300)</t>
  </si>
  <si>
    <t>Grad Supp Asst (5320)</t>
  </si>
  <si>
    <t>Grad Teach Asst (5340)</t>
  </si>
  <si>
    <t>State Classified (5400)</t>
  </si>
  <si>
    <t>1st Yr Temp Faculty (5500)</t>
  </si>
  <si>
    <t xml:space="preserve">1st Yr Temp Admin Pro (5540) </t>
  </si>
  <si>
    <t>1st Yr Temp Support (5500)</t>
  </si>
  <si>
    <t xml:space="preserve">Temp Support (5560) </t>
  </si>
  <si>
    <t>Student Hourly (5600)</t>
  </si>
  <si>
    <t>Workstudy Hourly (5650)</t>
  </si>
  <si>
    <t>Misc Exp/Allow (5700)</t>
  </si>
  <si>
    <t>Non-Student Hourly (5580)</t>
  </si>
  <si>
    <t>Be sure you update the Fringe rates on the FYxx Fringe Rate tab for the appropriate Fiscal Year</t>
  </si>
  <si>
    <t>Revenue from Row 13</t>
  </si>
  <si>
    <t>Faculty &amp; A/P Leave:</t>
  </si>
  <si>
    <t>Hrs</t>
  </si>
  <si>
    <t>11 pd Holidays</t>
  </si>
  <si>
    <t>24 AL days</t>
  </si>
  <si>
    <t>15 SL days</t>
  </si>
  <si>
    <t>Normal ann'l hrs</t>
  </si>
  <si>
    <t>Max hrs available</t>
  </si>
  <si>
    <t>Grad Asst &amp; Predoc Fellows &amp; St Hourly:</t>
  </si>
  <si>
    <t xml:space="preserve">HFWPA </t>
  </si>
  <si>
    <t>State Classified:</t>
  </si>
  <si>
    <t>Note: This changes based on Yrs of Service. Used 6-10 Yrs here. Please see https://hr.colostate.edu/current-employees/benefits/sc/leave/other-leaves/</t>
  </si>
  <si>
    <t>11 AL hr/mo</t>
  </si>
  <si>
    <t>6.66 SL hr/mo</t>
  </si>
  <si>
    <t>11 Holidays</t>
  </si>
  <si>
    <t>Hrs Available</t>
  </si>
  <si>
    <t>Hrly Rate - Check max hrs available by reviweing the leave calcs in Col P</t>
  </si>
  <si>
    <t>Need to update Fringe Rate annually</t>
  </si>
  <si>
    <t xml:space="preserve">Billing Rate #1- </t>
  </si>
  <si>
    <t xml:space="preserve">Billing Rate #2 - </t>
  </si>
  <si>
    <t xml:space="preserve">Billing Rate #3 - </t>
  </si>
  <si>
    <t xml:space="preserve">Billing Rate #4 - </t>
  </si>
  <si>
    <t>Billing Rate #5 -</t>
  </si>
  <si>
    <t xml:space="preserve">Billing Rate #6 - </t>
  </si>
  <si>
    <t>Billing Rate #7 -</t>
  </si>
  <si>
    <t xml:space="preserve">Billing Rate #8 - </t>
  </si>
  <si>
    <t>Billing Rate #9 -</t>
  </si>
  <si>
    <t>Billing Rate #3 -</t>
  </si>
  <si>
    <t xml:space="preserve">Billing Rate #5 - </t>
  </si>
  <si>
    <t>Billing Rate #8 -</t>
  </si>
  <si>
    <t># of ?</t>
  </si>
  <si>
    <t>Average # of Units per Month</t>
  </si>
  <si>
    <t>Billing Rate per Unit</t>
  </si>
  <si>
    <t>BR with Dept Profit</t>
  </si>
  <si>
    <t>16.</t>
  </si>
  <si>
    <t>All cells highlighted yellow must be filled in by the user. The Yr 1 amounts should tie to the Totals on the Billing Rate Calc sheet and the FBR.  Add other Expense lines if needed.</t>
  </si>
  <si>
    <t>Yrs 2 and 3 for certain rows are calculated based on the % increase entered in Column C. If you don't want to use a % increase, you can put in your own numbers.</t>
  </si>
  <si>
    <t>% Increase</t>
  </si>
  <si>
    <t>Year 1</t>
  </si>
  <si>
    <t>Year 2</t>
  </si>
  <si>
    <t>Year 3</t>
  </si>
  <si>
    <t>Beginning Balance</t>
  </si>
  <si>
    <t>Revenues:</t>
  </si>
  <si>
    <t>Other (define)</t>
  </si>
  <si>
    <t>Expenses:</t>
  </si>
  <si>
    <t>Salary and Fringe</t>
  </si>
  <si>
    <t>Other Operating</t>
  </si>
  <si>
    <t>Ending Fund Balance</t>
  </si>
  <si>
    <t>G&amp;A 22.5%</t>
  </si>
  <si>
    <t>Dept OH x%</t>
  </si>
  <si>
    <t>External Revenue</t>
  </si>
  <si>
    <t>22 ACCOUNT #xxxxxxx  3-YEAR PROJECTION</t>
  </si>
  <si>
    <t>Cell D18 is Total Expense D17 less Cost of Goods Sold, Graduate Tuition, Utilities and Leased or Rented Equipment, multiplied by 22.5%</t>
  </si>
  <si>
    <t>Remove this line if you don't intend to charge a Profit Rate, OR change to the Profit Rate you're going to use.</t>
  </si>
  <si>
    <t>Remove this line if your Dept doesn't charge Dept OH, OR change to the correct Dept OH rate.</t>
  </si>
  <si>
    <r>
      <t xml:space="preserve">15. Department OH - </t>
    </r>
    <r>
      <rPr>
        <sz val="10"/>
        <color rgb="FFFF0000"/>
        <rFont val="Arial"/>
        <family val="2"/>
      </rPr>
      <t>x%</t>
    </r>
    <r>
      <rPr>
        <sz val="10"/>
        <rFont val="Arial"/>
        <family val="2"/>
      </rPr>
      <t xml:space="preserve"> (if charged)</t>
    </r>
  </si>
  <si>
    <t xml:space="preserve">If your Dept charges OH on your 22 accts please put in the rate in </t>
  </si>
  <si>
    <t>cell A72 and in H72.</t>
  </si>
  <si>
    <r>
      <rPr>
        <b/>
        <sz val="11"/>
        <color rgb="FFFF0000"/>
        <rFont val="Calibri"/>
        <family val="2"/>
        <scheme val="minor"/>
      </rPr>
      <t xml:space="preserve">INSTRUCTIONS: </t>
    </r>
    <r>
      <rPr>
        <sz val="11"/>
        <color rgb="FFFF0000"/>
        <rFont val="Calibri"/>
        <family val="2"/>
        <scheme val="minor"/>
      </rPr>
      <t xml:space="preserve"> User should fill in or change the yellow highligted fields.  The blue highlighted fields should be left alone as they contain forumlas.  </t>
    </r>
  </si>
  <si>
    <t xml:space="preserve">You can change remove or add expense categories as needed for your specific account. If you change any labels for expenses, please keep the type of expense consistent all the way across the row.   </t>
  </si>
  <si>
    <t>You can change the frequency of the activity in the Frequency of Activity and Billing Rate Calculation Section that is below Total Expenses.</t>
  </si>
  <si>
    <t>PPE</t>
  </si>
  <si>
    <t>Chemicals</t>
  </si>
  <si>
    <t>Instrument Lubricant</t>
  </si>
  <si>
    <t>Slides, Pipettes, etc.</t>
  </si>
  <si>
    <t>Leased Equipment</t>
  </si>
  <si>
    <t>Total Expense w/ OH &amp; G&amp;A</t>
  </si>
  <si>
    <t>Frequency of Activity and Billing Rate Calculation Section</t>
  </si>
  <si>
    <t>Dept Profit x%</t>
  </si>
  <si>
    <r>
      <t xml:space="preserve">* Each Billing Rate must stand on its own. If there is an anticipated </t>
    </r>
    <r>
      <rPr>
        <b/>
        <sz val="11"/>
        <color rgb="FFFF0000"/>
        <rFont val="Calibri"/>
        <family val="2"/>
        <scheme val="minor"/>
      </rPr>
      <t>(Loss)</t>
    </r>
    <r>
      <rPr>
        <b/>
        <sz val="11"/>
        <rFont val="Calibri"/>
        <family val="2"/>
        <scheme val="minor"/>
      </rPr>
      <t xml:space="preserve"> please explain.</t>
    </r>
  </si>
  <si>
    <t>Dept OH - x%</t>
  </si>
  <si>
    <t>Fill in the Profit % and fix the calculation (if your GENOP 22 Acct charges a profit).  Note that all 22 GNEOP accounts are allowed to make a profit.</t>
  </si>
  <si>
    <t>Fill in the Dept OH % and fix the calculation (if your GENOP 22 Acct is charged Dept OH.</t>
  </si>
  <si>
    <t>FY26 Fringe Rates</t>
  </si>
  <si>
    <t>Fiscal Year:  FY26</t>
  </si>
  <si>
    <t>2.  Fill in the information requested and check your figures for accuracy.</t>
  </si>
  <si>
    <t>3.  Since this FBR is integrated into the BR Workbook, it obtains totals from the BR Calc sheet Summary section.</t>
  </si>
  <si>
    <t>4. Obtain signatures if this is for a new 21 acct (updates for existing 21s don't need to be signed).</t>
  </si>
  <si>
    <t>5.  Send completed BR Workbook to BFS Campus Services.</t>
  </si>
  <si>
    <t>1.  Sales to External Customers (OC4380)</t>
  </si>
  <si>
    <t>2.  Sales to Other State Agencies (OC4700)</t>
  </si>
  <si>
    <t>6.   Cost of Goods Sold (OC7000-7007)</t>
  </si>
  <si>
    <t xml:space="preserve">       a.  Faculty (OC50xx)</t>
  </si>
  <si>
    <t xml:space="preserve">       b.  Admin Prof (OC51xx)</t>
  </si>
  <si>
    <t xml:space="preserve">       h.  State Classified (OC54xx)</t>
  </si>
  <si>
    <t xml:space="preserve">       n.  Student Hourly (OC56xx)</t>
  </si>
  <si>
    <t>8.   Travel (OC60xx)</t>
  </si>
  <si>
    <t>9.  Other Operating Expenses (OC62xx)</t>
  </si>
  <si>
    <t>10.  Other Direct Costs (OC66xx-67xx)</t>
  </si>
  <si>
    <t>4.  Other Revenues (Explain on Row 138)</t>
  </si>
  <si>
    <t>Briefly explain Sales to Internal Customers (4800) (From Line 3 Row 19):</t>
  </si>
  <si>
    <t>Briefly explain Other Revenues (From Line 4 Row 21):</t>
  </si>
  <si>
    <t>3.  Sales to Internal Customers (OC4800) (Explain on Row 136)</t>
  </si>
  <si>
    <t xml:space="preserve">       d.  Other (See Multiple Salary Table - Row 140)</t>
  </si>
  <si>
    <t>Cost of Services Provided by 21 Acct</t>
  </si>
  <si>
    <t>Unrelated Business Income Tax</t>
  </si>
  <si>
    <t xml:space="preserve">       f.  Other (Please explain on Row 200)</t>
  </si>
  <si>
    <t>Total Other Direct Costs (OC66xx)</t>
  </si>
  <si>
    <t>11.  Utilities (OC7800)</t>
  </si>
  <si>
    <t>12.  Leased Equipment (OC8100)</t>
  </si>
  <si>
    <t>Fill in %</t>
  </si>
  <si>
    <t xml:space="preserve">       Ending Fund Balance (as of June 30, 2026)**</t>
  </si>
  <si>
    <t xml:space="preserve">       Ending Cash Balance (as of June 30, 2026) **</t>
  </si>
  <si>
    <t>Revenues (from Line 5 Row 23)</t>
  </si>
  <si>
    <t>Expenditures (from Line 16 Row 74)</t>
  </si>
  <si>
    <t xml:space="preserve">       Beginning Fund Balance OC3000 (as of July 1, 2025)</t>
  </si>
  <si>
    <t xml:space="preserve">       Beginning Cash Balance OC1100 (as of July 1, 2025) - Drill in to get to the Beginning Balance</t>
  </si>
  <si>
    <t>what account will be used to subsidize the deficit?</t>
  </si>
  <si>
    <t>Subtotal Expenditures (Line 13 Row 68)</t>
  </si>
  <si>
    <t>Cost of Goods Sold (Line 6 Row 26)</t>
  </si>
  <si>
    <t>Graduate Tuition (Line 10c Row 53)</t>
  </si>
  <si>
    <t>Utilities (Line 11 Row 64)</t>
  </si>
  <si>
    <t>Leased Equipment (Line 12 Row 66)</t>
  </si>
  <si>
    <t>Describe the Cost of Services Provided by the Related 21 Account:</t>
  </si>
  <si>
    <t xml:space="preserve">          (Provide breakdown of costs provided by 21 Accts on Row 203)</t>
  </si>
  <si>
    <t>14.  University G &amp; A Overhead @ 22.5% (See G&amp;A Worksheet at Row 177)</t>
  </si>
  <si>
    <t>FY26 - Acct #22xxxxx -Acct Title
(Updated Date - MM/DD/YY)</t>
  </si>
  <si>
    <t>Cell D14 is pulling Cost of Goods Sold and Other Operating Exp totals.</t>
  </si>
  <si>
    <t>Cell D16 is the Rental Equipment and Leased Equipment</t>
  </si>
  <si>
    <t>If your 22 acct is charged Dept OH please put the % in cell C19</t>
  </si>
  <si>
    <t>Cell D15 is pulling the Other Direct Costs total less Rented Equipment and Leased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</si>
</sst>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
    <numFmt numFmtId="165" formatCode="0.0"/>
    <numFmt numFmtId="166" formatCode="_(* #,##0_);_(* \(#,##0\);_(* &quot;-&quot;??_);_(@_)"/>
    <numFmt numFmtId="167" formatCode="0.0%"/>
    <numFmt numFmtId="168" formatCode="&quot;$&quot;#,##0.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family val="2"/>
    </font>
    <font>
      <b/>
      <sz val="11"/>
      <name val="Arial"/>
      <family val="2"/>
    </font>
    <font>
      <sz val="14"/>
      <name val="Arial"/>
      <family val="2"/>
    </font>
    <font>
      <sz val="8"/>
      <name val="Arial"/>
      <family val="2"/>
    </font>
    <font>
      <b/>
      <sz val="8"/>
      <name val="Arial"/>
      <family val="2"/>
    </font>
    <font>
      <u/>
      <sz val="12"/>
      <name val="Arial"/>
      <family val="2"/>
    </font>
    <font>
      <b/>
      <sz val="9"/>
      <name val="Arial"/>
      <family val="2"/>
    </font>
    <font>
      <b/>
      <sz val="11"/>
      <name val="Calibri"/>
      <family val="2"/>
      <scheme val="minor"/>
    </font>
    <font>
      <sz val="11"/>
      <name val="Calibri"/>
      <family val="2"/>
      <scheme val="minor"/>
    </font>
    <font>
      <sz val="9"/>
      <name val="Calibri"/>
      <family val="2"/>
      <scheme val="minor"/>
    </font>
    <font>
      <b/>
      <sz val="14"/>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10"/>
      <name val="Arial"/>
      <family val="2"/>
    </font>
    <font>
      <sz val="14"/>
      <color theme="1"/>
      <name val="Calibri"/>
      <family val="2"/>
      <scheme val="minor"/>
    </font>
    <font>
      <b/>
      <sz val="16"/>
      <color theme="1"/>
      <name val="Calibri"/>
      <family val="2"/>
      <scheme val="minor"/>
    </font>
    <font>
      <b/>
      <sz val="12"/>
      <name val="Arial"/>
      <family val="2"/>
    </font>
    <font>
      <sz val="11"/>
      <name val="Arial"/>
      <family val="2"/>
    </font>
    <font>
      <sz val="10"/>
      <color rgb="FFFF0000"/>
      <name val="Arial"/>
      <family val="2"/>
    </font>
    <font>
      <sz val="11"/>
      <color rgb="FFFF0000"/>
      <name val="Calibri"/>
      <family val="2"/>
      <scheme val="minor"/>
    </font>
    <font>
      <b/>
      <sz val="11"/>
      <color rgb="FFFF0000"/>
      <name val="Calibri"/>
      <family val="2"/>
      <scheme val="minor"/>
    </font>
    <font>
      <b/>
      <i/>
      <u/>
      <sz val="12"/>
      <name val="Arial"/>
      <family val="2"/>
    </font>
    <font>
      <sz val="10"/>
      <name val="Arial"/>
      <family val="2"/>
    </font>
    <font>
      <sz val="10"/>
      <color rgb="FFFF0000"/>
      <name val="Arial"/>
      <family val="2"/>
    </font>
    <font>
      <b/>
      <sz val="10"/>
      <color rgb="FFFF0000"/>
      <name val="Arial"/>
      <family val="2"/>
    </font>
    <font>
      <b/>
      <sz val="12"/>
      <color rgb="FFFF0000"/>
      <name val="Arial"/>
      <family val="2"/>
    </font>
    <font>
      <b/>
      <u/>
      <sz val="14"/>
      <color rgb="FFFF0000"/>
      <name val="Cambria"/>
      <family val="1"/>
    </font>
    <font>
      <b/>
      <sz val="14"/>
      <color theme="1"/>
      <name val="Cambria"/>
      <family val="1"/>
    </font>
    <font>
      <sz val="11"/>
      <color theme="1"/>
      <name val="Times New Roman"/>
      <family val="1"/>
    </font>
    <font>
      <sz val="11"/>
      <name val="Cambria"/>
      <family val="1"/>
    </font>
    <font>
      <sz val="11"/>
      <color theme="1"/>
      <name val="Cambria"/>
      <family val="1"/>
    </font>
    <font>
      <b/>
      <sz val="11"/>
      <color theme="1"/>
      <name val="Cambria"/>
      <family val="1"/>
    </font>
    <font>
      <b/>
      <sz val="11"/>
      <name val="Cambria"/>
      <family val="1"/>
    </font>
  </fonts>
  <fills count="8">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14996795556505021"/>
        <bgColor indexed="64"/>
      </patternFill>
    </fill>
    <fill>
      <patternFill patternType="solid">
        <fgColor theme="3"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43" fontId="21" fillId="0" borderId="0" applyFont="0" applyFill="0" applyBorder="0" applyAlignment="0" applyProtection="0"/>
    <xf numFmtId="44" fontId="21" fillId="0" borderId="0" applyFont="0" applyFill="0" applyBorder="0" applyAlignment="0" applyProtection="0"/>
    <xf numFmtId="9" fontId="30" fillId="0" borderId="0" applyFont="0" applyFill="0" applyBorder="0" applyAlignment="0" applyProtection="0"/>
    <xf numFmtId="0" fontId="1" fillId="0" borderId="0"/>
  </cellStyleXfs>
  <cellXfs count="359">
    <xf numFmtId="0" fontId="0" fillId="0" borderId="0" xfId="0"/>
    <xf numFmtId="0" fontId="9" fillId="0" borderId="0" xfId="3" applyFont="1"/>
    <xf numFmtId="0" fontId="5" fillId="0" borderId="0" xfId="3"/>
    <xf numFmtId="0" fontId="10" fillId="0" borderId="0" xfId="3" applyFont="1"/>
    <xf numFmtId="7" fontId="11" fillId="0" borderId="0" xfId="3" applyNumberFormat="1" applyFont="1"/>
    <xf numFmtId="0" fontId="6" fillId="0" borderId="0" xfId="3" applyFont="1" applyAlignment="1">
      <alignment wrapText="1"/>
    </xf>
    <xf numFmtId="7" fontId="5" fillId="0" borderId="0" xfId="3" applyNumberFormat="1"/>
    <xf numFmtId="0" fontId="7" fillId="0" borderId="0" xfId="3" applyFont="1" applyAlignment="1">
      <alignment horizontal="left"/>
    </xf>
    <xf numFmtId="0" fontId="6" fillId="0" borderId="0" xfId="3" applyFont="1"/>
    <xf numFmtId="0" fontId="7" fillId="0" borderId="0" xfId="3" applyFont="1"/>
    <xf numFmtId="0" fontId="5" fillId="0" borderId="6" xfId="3" applyBorder="1"/>
    <xf numFmtId="7" fontId="5" fillId="0" borderId="6" xfId="3" applyNumberFormat="1" applyBorder="1"/>
    <xf numFmtId="0" fontId="7" fillId="0" borderId="6" xfId="3" applyFont="1" applyBorder="1"/>
    <xf numFmtId="164" fontId="5" fillId="0" borderId="6" xfId="3" applyNumberFormat="1" applyBorder="1"/>
    <xf numFmtId="0" fontId="5" fillId="0" borderId="0" xfId="3" quotePrefix="1"/>
    <xf numFmtId="7" fontId="5" fillId="0" borderId="7" xfId="3" applyNumberFormat="1" applyBorder="1"/>
    <xf numFmtId="0" fontId="13" fillId="0" borderId="0" xfId="3" applyFont="1"/>
    <xf numFmtId="0" fontId="5" fillId="0" borderId="0" xfId="3" applyAlignment="1">
      <alignment horizontal="center"/>
    </xf>
    <xf numFmtId="0" fontId="5" fillId="0" borderId="6" xfId="3" applyBorder="1" applyAlignment="1">
      <alignment horizontal="center"/>
    </xf>
    <xf numFmtId="7" fontId="5" fillId="0" borderId="6" xfId="3" applyNumberFormat="1" applyBorder="1" applyAlignment="1">
      <alignment horizontal="center"/>
    </xf>
    <xf numFmtId="0" fontId="6" fillId="0" borderId="1" xfId="3" applyFont="1" applyBorder="1"/>
    <xf numFmtId="0" fontId="5" fillId="0" borderId="2" xfId="3" applyBorder="1"/>
    <xf numFmtId="0" fontId="6" fillId="0" borderId="2" xfId="3" applyFont="1" applyBorder="1"/>
    <xf numFmtId="7" fontId="5" fillId="0" borderId="2" xfId="3" applyNumberFormat="1" applyBorder="1"/>
    <xf numFmtId="7" fontId="5" fillId="0" borderId="8" xfId="3" applyNumberFormat="1" applyBorder="1"/>
    <xf numFmtId="0" fontId="5" fillId="0" borderId="9" xfId="3" applyBorder="1"/>
    <xf numFmtId="7" fontId="5" fillId="0" borderId="10" xfId="3" applyNumberFormat="1" applyBorder="1"/>
    <xf numFmtId="0" fontId="5" fillId="0" borderId="11" xfId="3" applyBorder="1"/>
    <xf numFmtId="7" fontId="5" fillId="0" borderId="12" xfId="3" applyNumberFormat="1" applyBorder="1"/>
    <xf numFmtId="0" fontId="5" fillId="0" borderId="3" xfId="3" applyBorder="1"/>
    <xf numFmtId="0" fontId="5" fillId="0" borderId="4" xfId="3" applyBorder="1"/>
    <xf numFmtId="0" fontId="5" fillId="0" borderId="13" xfId="3" applyBorder="1"/>
    <xf numFmtId="7" fontId="5" fillId="0" borderId="13" xfId="3" applyNumberFormat="1" applyBorder="1"/>
    <xf numFmtId="7" fontId="5" fillId="0" borderId="14" xfId="3" applyNumberFormat="1" applyBorder="1"/>
    <xf numFmtId="7" fontId="6" fillId="0" borderId="0" xfId="3" applyNumberFormat="1" applyFont="1"/>
    <xf numFmtId="165" fontId="5" fillId="0" borderId="0" xfId="3" applyNumberFormat="1"/>
    <xf numFmtId="7" fontId="5" fillId="0" borderId="15" xfId="3" applyNumberFormat="1" applyBorder="1"/>
    <xf numFmtId="0" fontId="8" fillId="0" borderId="6" xfId="3" applyFont="1" applyBorder="1"/>
    <xf numFmtId="7" fontId="8" fillId="0" borderId="6" xfId="3" applyNumberFormat="1" applyFont="1" applyBorder="1"/>
    <xf numFmtId="49" fontId="8" fillId="0" borderId="6" xfId="3" applyNumberFormat="1" applyFont="1" applyBorder="1"/>
    <xf numFmtId="0" fontId="5" fillId="0" borderId="13" xfId="0" applyFont="1" applyBorder="1"/>
    <xf numFmtId="43" fontId="5" fillId="0" borderId="6" xfId="3" applyNumberFormat="1" applyBorder="1"/>
    <xf numFmtId="2" fontId="5" fillId="0" borderId="0" xfId="3" quotePrefix="1" applyNumberFormat="1" applyAlignment="1">
      <alignment horizontal="left" indent="6"/>
    </xf>
    <xf numFmtId="2" fontId="5" fillId="0" borderId="0" xfId="3" quotePrefix="1" applyNumberFormat="1"/>
    <xf numFmtId="2" fontId="5" fillId="0" borderId="0" xfId="3" applyNumberFormat="1"/>
    <xf numFmtId="0" fontId="4" fillId="0" borderId="0" xfId="4"/>
    <xf numFmtId="0" fontId="14" fillId="0" borderId="0" xfId="4" applyFont="1" applyAlignment="1">
      <alignment horizontal="center" vertical="center"/>
    </xf>
    <xf numFmtId="0" fontId="15" fillId="0" borderId="0" xfId="4" applyFont="1"/>
    <xf numFmtId="0" fontId="14" fillId="0" borderId="5" xfId="4" applyFont="1" applyBorder="1"/>
    <xf numFmtId="0" fontId="4" fillId="0" borderId="6" xfId="4" applyBorder="1"/>
    <xf numFmtId="0" fontId="4" fillId="0" borderId="0" xfId="4" applyAlignment="1">
      <alignment horizontal="left" indent="2"/>
    </xf>
    <xf numFmtId="0" fontId="15" fillId="0" borderId="0" xfId="4" applyFont="1" applyAlignment="1">
      <alignment horizontal="left" indent="2"/>
    </xf>
    <xf numFmtId="0" fontId="4" fillId="0" borderId="0" xfId="4" applyAlignment="1">
      <alignment horizontal="left" indent="5"/>
    </xf>
    <xf numFmtId="0" fontId="4" fillId="0" borderId="0" xfId="4" applyAlignment="1">
      <alignment horizontal="left" indent="3"/>
    </xf>
    <xf numFmtId="0" fontId="15" fillId="0" borderId="0" xfId="4" applyFont="1" applyAlignment="1">
      <alignment horizontal="left"/>
    </xf>
    <xf numFmtId="0" fontId="18" fillId="0" borderId="0" xfId="4" applyFont="1" applyAlignment="1">
      <alignment horizontal="center" vertical="center"/>
    </xf>
    <xf numFmtId="0" fontId="18" fillId="2" borderId="0" xfId="4" applyFont="1" applyFill="1" applyAlignment="1">
      <alignment horizontal="center" vertical="center"/>
    </xf>
    <xf numFmtId="0" fontId="18" fillId="0" borderId="0" xfId="4" applyFont="1" applyAlignment="1">
      <alignment horizontal="left" vertical="center"/>
    </xf>
    <xf numFmtId="0" fontId="18" fillId="0" borderId="0" xfId="4" applyFont="1" applyAlignment="1">
      <alignment vertical="center"/>
    </xf>
    <xf numFmtId="0" fontId="4" fillId="0" borderId="0" xfId="4" applyAlignment="1">
      <alignment horizontal="left" vertical="center" indent="2"/>
    </xf>
    <xf numFmtId="0" fontId="4" fillId="0" borderId="0" xfId="4" applyAlignment="1">
      <alignment horizontal="left" vertical="center" indent="4"/>
    </xf>
    <xf numFmtId="0" fontId="4" fillId="0" borderId="0" xfId="4" applyAlignment="1">
      <alignment horizontal="left" vertical="center" indent="1"/>
    </xf>
    <xf numFmtId="0" fontId="18" fillId="0" borderId="0" xfId="4" applyFont="1"/>
    <xf numFmtId="0" fontId="14" fillId="0" borderId="6" xfId="4" applyFont="1" applyBorder="1"/>
    <xf numFmtId="0" fontId="16" fillId="0" borderId="0" xfId="4" applyFont="1" applyAlignment="1">
      <alignment horizontal="left" indent="2"/>
    </xf>
    <xf numFmtId="1" fontId="4" fillId="0" borderId="0" xfId="4" applyNumberFormat="1"/>
    <xf numFmtId="43" fontId="4" fillId="0" borderId="0" xfId="5" applyFont="1"/>
    <xf numFmtId="166" fontId="4" fillId="0" borderId="0" xfId="5" applyNumberFormat="1" applyFont="1"/>
    <xf numFmtId="166" fontId="4" fillId="0" borderId="0" xfId="5" applyNumberFormat="1" applyFont="1" applyFill="1"/>
    <xf numFmtId="166" fontId="18" fillId="0" borderId="5" xfId="5" applyNumberFormat="1" applyFont="1" applyBorder="1"/>
    <xf numFmtId="166" fontId="18" fillId="0" borderId="0" xfId="5" applyNumberFormat="1" applyFont="1"/>
    <xf numFmtId="0" fontId="15" fillId="0" borderId="6" xfId="4" applyFont="1" applyBorder="1" applyAlignment="1">
      <alignment horizontal="left"/>
    </xf>
    <xf numFmtId="166" fontId="4" fillId="0" borderId="6" xfId="4" applyNumberFormat="1" applyBorder="1"/>
    <xf numFmtId="0" fontId="14" fillId="0" borderId="0" xfId="4" applyFont="1"/>
    <xf numFmtId="0" fontId="14" fillId="0" borderId="0" xfId="4" applyFont="1" applyAlignment="1">
      <alignment horizontal="left"/>
    </xf>
    <xf numFmtId="0" fontId="18" fillId="0" borderId="6" xfId="4" applyFont="1" applyBorder="1"/>
    <xf numFmtId="1" fontId="4" fillId="0" borderId="0" xfId="6" applyNumberFormat="1" applyFont="1"/>
    <xf numFmtId="166" fontId="18" fillId="0" borderId="0" xfId="5" applyNumberFormat="1" applyFont="1" applyFill="1"/>
    <xf numFmtId="0" fontId="4" fillId="0" borderId="0" xfId="4" applyAlignment="1">
      <alignment vertical="center"/>
    </xf>
    <xf numFmtId="0" fontId="14" fillId="0" borderId="6" xfId="4" applyFont="1" applyBorder="1" applyAlignment="1">
      <alignment vertical="center"/>
    </xf>
    <xf numFmtId="0" fontId="14" fillId="0" borderId="6" xfId="4" applyFont="1" applyBorder="1" applyAlignment="1">
      <alignment horizontal="center" vertical="center"/>
    </xf>
    <xf numFmtId="0" fontId="14" fillId="0" borderId="6" xfId="4" applyFont="1" applyBorder="1" applyAlignment="1">
      <alignment horizontal="center" vertical="center" wrapText="1"/>
    </xf>
    <xf numFmtId="0" fontId="18" fillId="0" borderId="0" xfId="4" applyFont="1" applyAlignment="1">
      <alignment horizontal="center" vertical="center" wrapText="1"/>
    </xf>
    <xf numFmtId="0" fontId="22" fillId="0" borderId="0" xfId="4" applyFont="1"/>
    <xf numFmtId="166" fontId="4" fillId="0" borderId="0" xfId="4" applyNumberFormat="1"/>
    <xf numFmtId="0" fontId="5" fillId="0" borderId="16" xfId="3" applyBorder="1"/>
    <xf numFmtId="7" fontId="5" fillId="0" borderId="16" xfId="3" applyNumberFormat="1" applyBorder="1"/>
    <xf numFmtId="0" fontId="5" fillId="0" borderId="6" xfId="0" applyFont="1" applyBorder="1"/>
    <xf numFmtId="1" fontId="18" fillId="0" borderId="0" xfId="6" applyNumberFormat="1" applyFont="1"/>
    <xf numFmtId="43" fontId="4" fillId="0" borderId="0" xfId="5" applyFont="1" applyFill="1"/>
    <xf numFmtId="166" fontId="4" fillId="3" borderId="0" xfId="5" applyNumberFormat="1" applyFont="1" applyFill="1"/>
    <xf numFmtId="0" fontId="15" fillId="3" borderId="0" xfId="4" applyFont="1" applyFill="1" applyAlignment="1">
      <alignment horizontal="left" indent="5"/>
    </xf>
    <xf numFmtId="166" fontId="3" fillId="0" borderId="0" xfId="5" applyNumberFormat="1" applyFont="1" applyFill="1"/>
    <xf numFmtId="166" fontId="18" fillId="0" borderId="0" xfId="5" applyNumberFormat="1" applyFont="1" applyFill="1" applyBorder="1"/>
    <xf numFmtId="0" fontId="15" fillId="0" borderId="0" xfId="4" applyFont="1" applyAlignment="1">
      <alignment horizontal="left" indent="5"/>
    </xf>
    <xf numFmtId="0" fontId="2" fillId="0" borderId="0" xfId="4" applyFont="1" applyAlignment="1">
      <alignment horizontal="left" indent="5"/>
    </xf>
    <xf numFmtId="0" fontId="18" fillId="0" borderId="0" xfId="0" applyFont="1" applyAlignment="1">
      <alignment horizontal="center" vertical="center"/>
    </xf>
    <xf numFmtId="2" fontId="18" fillId="0" borderId="0" xfId="0" applyNumberFormat="1" applyFont="1" applyAlignment="1">
      <alignment horizontal="right" vertical="center"/>
    </xf>
    <xf numFmtId="0" fontId="18" fillId="0" borderId="6" xfId="0" applyFont="1" applyBorder="1" applyAlignment="1">
      <alignment vertical="center"/>
    </xf>
    <xf numFmtId="2" fontId="18" fillId="0" borderId="6" xfId="0" applyNumberFormat="1" applyFont="1" applyBorder="1" applyAlignment="1">
      <alignment horizontal="right" vertical="center"/>
    </xf>
    <xf numFmtId="43" fontId="18" fillId="0" borderId="0" xfId="5" applyFont="1" applyBorder="1" applyAlignment="1">
      <alignment horizontal="right" vertical="center"/>
    </xf>
    <xf numFmtId="43" fontId="18" fillId="0" borderId="0" xfId="5" applyFont="1" applyFill="1" applyAlignment="1">
      <alignment horizontal="right" vertical="center"/>
    </xf>
    <xf numFmtId="43" fontId="18" fillId="0" borderId="0" xfId="5" applyFont="1" applyBorder="1" applyAlignment="1">
      <alignment horizontal="center" vertical="center"/>
    </xf>
    <xf numFmtId="43" fontId="18" fillId="0" borderId="0" xfId="5" applyFont="1" applyFill="1" applyBorder="1" applyAlignment="1">
      <alignment horizontal="right" vertical="center"/>
    </xf>
    <xf numFmtId="43" fontId="18" fillId="0" borderId="6" xfId="5" applyFont="1" applyBorder="1" applyAlignment="1">
      <alignment vertical="center"/>
    </xf>
    <xf numFmtId="43" fontId="14" fillId="0" borderId="0" xfId="5" applyFont="1" applyFill="1" applyAlignment="1">
      <alignment horizontal="right" vertical="center"/>
    </xf>
    <xf numFmtId="43" fontId="15" fillId="0" borderId="0" xfId="5" applyFont="1" applyFill="1" applyAlignment="1">
      <alignment horizontal="right" vertical="center"/>
    </xf>
    <xf numFmtId="0" fontId="14" fillId="0" borderId="0" xfId="0" applyFont="1" applyAlignment="1">
      <alignment horizontal="left" vertical="center"/>
    </xf>
    <xf numFmtId="2" fontId="15" fillId="0" borderId="0" xfId="0" applyNumberFormat="1" applyFont="1" applyAlignment="1">
      <alignment horizontal="right" vertical="center"/>
    </xf>
    <xf numFmtId="0" fontId="15" fillId="0" borderId="0" xfId="0" applyFont="1" applyAlignment="1">
      <alignment vertical="center"/>
    </xf>
    <xf numFmtId="2" fontId="14" fillId="0" borderId="0" xfId="0" quotePrefix="1" applyNumberFormat="1" applyFont="1" applyAlignment="1">
      <alignment horizontal="left" vertical="center"/>
    </xf>
    <xf numFmtId="0" fontId="15" fillId="0" borderId="0" xfId="0" applyFont="1"/>
    <xf numFmtId="43" fontId="15" fillId="0" borderId="0" xfId="5" applyFont="1" applyFill="1" applyBorder="1" applyAlignment="1">
      <alignment horizontal="left" vertical="center"/>
    </xf>
    <xf numFmtId="43" fontId="15" fillId="0" borderId="0" xfId="5" applyFont="1" applyFill="1" applyBorder="1" applyAlignment="1">
      <alignment horizontal="right" vertical="center"/>
    </xf>
    <xf numFmtId="0" fontId="23" fillId="4" borderId="0" xfId="0" applyFont="1" applyFill="1" applyAlignment="1">
      <alignment vertical="center" wrapText="1"/>
    </xf>
    <xf numFmtId="44" fontId="15" fillId="0" borderId="0" xfId="6" applyFont="1"/>
    <xf numFmtId="43" fontId="18" fillId="0" borderId="0" xfId="5" applyFont="1" applyFill="1" applyBorder="1" applyAlignment="1">
      <alignment horizontal="center" vertical="center"/>
    </xf>
    <xf numFmtId="43" fontId="18" fillId="0" borderId="6" xfId="5" applyFont="1" applyFill="1" applyBorder="1" applyAlignment="1">
      <alignment vertical="center"/>
    </xf>
    <xf numFmtId="0" fontId="5" fillId="0" borderId="0" xfId="0" applyFont="1"/>
    <xf numFmtId="0" fontId="24" fillId="0" borderId="0" xfId="0" applyFont="1"/>
    <xf numFmtId="167" fontId="0" fillId="0" borderId="0" xfId="0" applyNumberFormat="1"/>
    <xf numFmtId="167" fontId="0" fillId="0" borderId="0" xfId="0" applyNumberFormat="1" applyAlignment="1">
      <alignment horizontal="center"/>
    </xf>
    <xf numFmtId="0" fontId="14" fillId="0" borderId="0" xfId="0" applyFont="1" applyAlignment="1">
      <alignment horizontal="left" wrapText="1"/>
    </xf>
    <xf numFmtId="1" fontId="14" fillId="3" borderId="0" xfId="0" applyNumberFormat="1" applyFont="1" applyFill="1" applyAlignment="1">
      <alignment horizontal="right" vertical="center"/>
    </xf>
    <xf numFmtId="44" fontId="14" fillId="4" borderId="0" xfId="6" applyFont="1" applyFill="1" applyAlignment="1">
      <alignment horizontal="right" vertical="center"/>
    </xf>
    <xf numFmtId="0" fontId="14" fillId="0" borderId="0" xfId="0" applyFont="1"/>
    <xf numFmtId="0" fontId="5" fillId="0" borderId="0" xfId="0" applyFont="1" applyAlignment="1">
      <alignment horizontal="right"/>
    </xf>
    <xf numFmtId="4" fontId="0" fillId="0" borderId="0" xfId="0" applyNumberFormat="1"/>
    <xf numFmtId="0" fontId="18" fillId="5" borderId="6" xfId="0" applyFont="1" applyFill="1" applyBorder="1" applyAlignment="1">
      <alignment vertical="center"/>
    </xf>
    <xf numFmtId="43" fontId="18" fillId="5" borderId="6" xfId="5" applyFont="1" applyFill="1" applyBorder="1" applyAlignment="1">
      <alignment vertical="center"/>
    </xf>
    <xf numFmtId="2" fontId="18" fillId="5" borderId="6" xfId="0" applyNumberFormat="1" applyFont="1" applyFill="1" applyBorder="1" applyAlignment="1">
      <alignment horizontal="center" vertical="center"/>
    </xf>
    <xf numFmtId="43" fontId="18" fillId="5" borderId="6" xfId="5" applyFont="1" applyFill="1" applyBorder="1" applyAlignment="1">
      <alignment horizontal="center" vertical="center"/>
    </xf>
    <xf numFmtId="2" fontId="18" fillId="0" borderId="6" xfId="0" applyNumberFormat="1" applyFont="1" applyBorder="1" applyAlignment="1">
      <alignment horizontal="center" vertical="center"/>
    </xf>
    <xf numFmtId="2" fontId="15" fillId="0" borderId="0" xfId="0" applyNumberFormat="1" applyFont="1"/>
    <xf numFmtId="0" fontId="26" fillId="0" borderId="0" xfId="0" applyFont="1"/>
    <xf numFmtId="0" fontId="15" fillId="3" borderId="0" xfId="0" applyFont="1" applyFill="1" applyAlignment="1">
      <alignment wrapText="1"/>
    </xf>
    <xf numFmtId="1" fontId="14" fillId="0" borderId="0" xfId="0" quotePrefix="1" applyNumberFormat="1" applyFont="1" applyAlignment="1">
      <alignment horizontal="left" vertical="center"/>
    </xf>
    <xf numFmtId="43" fontId="15" fillId="3" borderId="0" xfId="5" applyFont="1" applyFill="1" applyAlignment="1">
      <alignment horizontal="right" vertical="center"/>
    </xf>
    <xf numFmtId="43" fontId="15" fillId="3" borderId="0" xfId="5" applyFont="1" applyFill="1" applyAlignment="1">
      <alignment horizontal="left" vertical="center"/>
    </xf>
    <xf numFmtId="43" fontId="15" fillId="4" borderId="0" xfId="5" applyFont="1" applyFill="1" applyAlignment="1">
      <alignment horizontal="right" vertical="center"/>
    </xf>
    <xf numFmtId="43" fontId="18" fillId="4" borderId="0" xfId="5" applyFont="1" applyFill="1" applyAlignment="1">
      <alignment horizontal="right" vertical="center"/>
    </xf>
    <xf numFmtId="43" fontId="14" fillId="4" borderId="0" xfId="5" applyFont="1" applyFill="1" applyAlignment="1">
      <alignment horizontal="right" vertical="center"/>
    </xf>
    <xf numFmtId="43" fontId="14" fillId="4" borderId="7" xfId="5" applyFont="1" applyFill="1" applyBorder="1" applyAlignment="1">
      <alignment horizontal="right" vertical="center"/>
    </xf>
    <xf numFmtId="43" fontId="15" fillId="4" borderId="0" xfId="5" applyFont="1" applyFill="1" applyBorder="1" applyAlignment="1">
      <alignment horizontal="right" vertical="center"/>
    </xf>
    <xf numFmtId="43" fontId="18" fillId="4" borderId="0" xfId="5" applyFont="1" applyFill="1" applyAlignment="1">
      <alignment horizontal="left" vertical="center"/>
    </xf>
    <xf numFmtId="43" fontId="14" fillId="4" borderId="0" xfId="5" applyFont="1" applyFill="1" applyAlignment="1">
      <alignment horizontal="left" vertical="center"/>
    </xf>
    <xf numFmtId="43" fontId="14" fillId="4" borderId="0" xfId="5" applyFont="1" applyFill="1" applyAlignment="1">
      <alignment vertical="center"/>
    </xf>
    <xf numFmtId="0" fontId="15" fillId="6" borderId="0" xfId="0" applyFont="1" applyFill="1"/>
    <xf numFmtId="0" fontId="0" fillId="0" borderId="26" xfId="0" applyBorder="1"/>
    <xf numFmtId="0" fontId="0" fillId="0" borderId="26" xfId="0" applyBorder="1" applyAlignment="1">
      <alignment horizontal="center" wrapText="1"/>
    </xf>
    <xf numFmtId="0" fontId="6" fillId="0" borderId="26" xfId="0" applyFont="1" applyBorder="1" applyAlignment="1">
      <alignment horizontal="center" wrapText="1"/>
    </xf>
    <xf numFmtId="167" fontId="6" fillId="0" borderId="26" xfId="0" applyNumberFormat="1" applyFont="1" applyBorder="1" applyAlignment="1">
      <alignment horizontal="center" wrapText="1"/>
    </xf>
    <xf numFmtId="0" fontId="6" fillId="0" borderId="27" xfId="0" applyFont="1" applyBorder="1" applyAlignment="1">
      <alignment horizontal="center" wrapText="1"/>
    </xf>
    <xf numFmtId="0" fontId="5" fillId="3" borderId="25" xfId="0" applyFont="1" applyFill="1" applyBorder="1" applyAlignment="1">
      <alignment horizontal="left"/>
    </xf>
    <xf numFmtId="2" fontId="5" fillId="3" borderId="26" xfId="0" applyNumberFormat="1" applyFont="1" applyFill="1" applyBorder="1" applyAlignment="1">
      <alignment horizontal="right" wrapText="1"/>
    </xf>
    <xf numFmtId="4" fontId="5" fillId="3" borderId="26" xfId="0" applyNumberFormat="1" applyFont="1" applyFill="1" applyBorder="1" applyAlignment="1">
      <alignment horizontal="right" wrapText="1"/>
    </xf>
    <xf numFmtId="4" fontId="5" fillId="3" borderId="27" xfId="0" applyNumberFormat="1" applyFont="1" applyFill="1" applyBorder="1" applyAlignment="1">
      <alignment horizontal="right" wrapText="1"/>
    </xf>
    <xf numFmtId="2" fontId="5" fillId="3" borderId="28" xfId="0" applyNumberFormat="1" applyFont="1" applyFill="1" applyBorder="1" applyAlignment="1">
      <alignment horizontal="right" wrapText="1"/>
    </xf>
    <xf numFmtId="4" fontId="5" fillId="3" borderId="28" xfId="0" applyNumberFormat="1" applyFont="1" applyFill="1" applyBorder="1" applyAlignment="1">
      <alignment horizontal="right" wrapText="1"/>
    </xf>
    <xf numFmtId="4" fontId="5" fillId="3" borderId="29" xfId="0" applyNumberFormat="1" applyFont="1" applyFill="1" applyBorder="1" applyAlignment="1">
      <alignment horizontal="right" wrapText="1"/>
    </xf>
    <xf numFmtId="0" fontId="5" fillId="0" borderId="26" xfId="0" applyFont="1" applyBorder="1" applyAlignment="1">
      <alignment horizontal="right" wrapText="1"/>
    </xf>
    <xf numFmtId="4" fontId="5" fillId="0" borderId="26" xfId="0" applyNumberFormat="1" applyFont="1" applyBorder="1" applyAlignment="1">
      <alignment horizontal="right" wrapText="1"/>
    </xf>
    <xf numFmtId="4" fontId="5" fillId="0" borderId="27" xfId="0" applyNumberFormat="1" applyFont="1" applyBorder="1" applyAlignment="1">
      <alignment horizontal="right" wrapText="1"/>
    </xf>
    <xf numFmtId="0" fontId="5" fillId="3" borderId="25" xfId="0" applyFont="1" applyFill="1" applyBorder="1"/>
    <xf numFmtId="167" fontId="0" fillId="0" borderId="26" xfId="0" applyNumberFormat="1" applyBorder="1" applyAlignment="1">
      <alignment horizontal="center"/>
    </xf>
    <xf numFmtId="0" fontId="5" fillId="0" borderId="26" xfId="0" applyFont="1" applyBorder="1" applyAlignment="1">
      <alignment horizontal="right"/>
    </xf>
    <xf numFmtId="4" fontId="5" fillId="0" borderId="26" xfId="0" applyNumberFormat="1" applyFont="1" applyBorder="1" applyAlignment="1">
      <alignment horizontal="right"/>
    </xf>
    <xf numFmtId="4" fontId="5" fillId="0" borderId="27" xfId="0" applyNumberFormat="1" applyFont="1" applyBorder="1" applyAlignment="1">
      <alignment horizontal="right"/>
    </xf>
    <xf numFmtId="167" fontId="6" fillId="0" borderId="26" xfId="0" applyNumberFormat="1" applyFont="1" applyBorder="1" applyAlignment="1">
      <alignment horizontal="center"/>
    </xf>
    <xf numFmtId="2" fontId="5" fillId="3" borderId="26" xfId="0" applyNumberFormat="1" applyFont="1" applyFill="1" applyBorder="1" applyAlignment="1">
      <alignment horizontal="right"/>
    </xf>
    <xf numFmtId="4" fontId="5" fillId="3" borderId="26" xfId="0" applyNumberFormat="1" applyFont="1" applyFill="1" applyBorder="1" applyAlignment="1">
      <alignment horizontal="right"/>
    </xf>
    <xf numFmtId="4" fontId="5" fillId="3" borderId="27" xfId="0" applyNumberFormat="1" applyFont="1" applyFill="1" applyBorder="1" applyAlignment="1">
      <alignment horizontal="right"/>
    </xf>
    <xf numFmtId="0" fontId="0" fillId="0" borderId="31" xfId="0" applyBorder="1"/>
    <xf numFmtId="167" fontId="0" fillId="0" borderId="31" xfId="0" applyNumberFormat="1" applyBorder="1" applyAlignment="1">
      <alignment horizontal="center"/>
    </xf>
    <xf numFmtId="2" fontId="6" fillId="4" borderId="31" xfId="0" applyNumberFormat="1" applyFont="1" applyFill="1" applyBorder="1"/>
    <xf numFmtId="0" fontId="0" fillId="0" borderId="33" xfId="0" applyBorder="1" applyAlignment="1">
      <alignment horizontal="center" wrapText="1"/>
    </xf>
    <xf numFmtId="0" fontId="6" fillId="0" borderId="33" xfId="0" applyFont="1" applyBorder="1" applyAlignment="1">
      <alignment horizontal="center" wrapText="1"/>
    </xf>
    <xf numFmtId="0" fontId="0" fillId="0" borderId="28" xfId="0" applyBorder="1" applyAlignment="1">
      <alignment horizontal="center" wrapText="1"/>
    </xf>
    <xf numFmtId="4" fontId="6" fillId="0" borderId="33" xfId="0" applyNumberFormat="1" applyFont="1" applyBorder="1" applyAlignment="1">
      <alignment horizontal="center" wrapText="1"/>
    </xf>
    <xf numFmtId="0" fontId="6" fillId="0" borderId="34" xfId="0" applyFont="1" applyBorder="1" applyAlignment="1">
      <alignment horizontal="center" wrapText="1"/>
    </xf>
    <xf numFmtId="2" fontId="0" fillId="0" borderId="28" xfId="0" applyNumberFormat="1" applyBorder="1"/>
    <xf numFmtId="2" fontId="6" fillId="4" borderId="28" xfId="0" applyNumberFormat="1" applyFont="1" applyFill="1" applyBorder="1" applyAlignment="1">
      <alignment horizontal="right" wrapText="1"/>
    </xf>
    <xf numFmtId="0" fontId="5" fillId="0" borderId="33" xfId="0" applyFont="1" applyBorder="1" applyAlignment="1">
      <alignment horizontal="right" wrapText="1"/>
    </xf>
    <xf numFmtId="4" fontId="5" fillId="0" borderId="33" xfId="0" applyNumberFormat="1" applyFont="1" applyBorder="1" applyAlignment="1">
      <alignment horizontal="right" wrapText="1"/>
    </xf>
    <xf numFmtId="4" fontId="5" fillId="0" borderId="34" xfId="0" applyNumberFormat="1" applyFont="1" applyBorder="1" applyAlignment="1">
      <alignment horizontal="right" wrapText="1"/>
    </xf>
    <xf numFmtId="0" fontId="0" fillId="0" borderId="28" xfId="0" applyBorder="1"/>
    <xf numFmtId="167" fontId="0" fillId="0" borderId="28" xfId="0" applyNumberFormat="1" applyBorder="1" applyAlignment="1">
      <alignment horizontal="center"/>
    </xf>
    <xf numFmtId="0" fontId="0" fillId="0" borderId="33" xfId="0" applyBorder="1"/>
    <xf numFmtId="0" fontId="5" fillId="0" borderId="33" xfId="0" applyFont="1" applyBorder="1" applyAlignment="1">
      <alignment horizontal="right"/>
    </xf>
    <xf numFmtId="4" fontId="5" fillId="0" borderId="33" xfId="0" applyNumberFormat="1" applyFont="1" applyBorder="1" applyAlignment="1">
      <alignment horizontal="right"/>
    </xf>
    <xf numFmtId="4" fontId="5" fillId="0" borderId="34" xfId="0" applyNumberFormat="1" applyFont="1" applyBorder="1" applyAlignment="1">
      <alignment horizontal="right"/>
    </xf>
    <xf numFmtId="2" fontId="0" fillId="0" borderId="33" xfId="0" applyNumberFormat="1" applyBorder="1"/>
    <xf numFmtId="0" fontId="0" fillId="0" borderId="34" xfId="0" applyBorder="1"/>
    <xf numFmtId="0" fontId="27" fillId="0" borderId="0" xfId="0" applyFont="1"/>
    <xf numFmtId="43" fontId="15" fillId="4" borderId="0" xfId="5" applyFont="1" applyFill="1" applyBorder="1" applyAlignment="1">
      <alignment horizontal="left" vertical="center"/>
    </xf>
    <xf numFmtId="43" fontId="18" fillId="4" borderId="0" xfId="5" applyFont="1" applyFill="1" applyBorder="1" applyAlignment="1">
      <alignment horizontal="left" vertical="center"/>
    </xf>
    <xf numFmtId="43" fontId="15" fillId="3" borderId="6" xfId="5" applyFont="1" applyFill="1" applyBorder="1" applyAlignment="1">
      <alignment horizontal="right" vertical="center"/>
    </xf>
    <xf numFmtId="43" fontId="15" fillId="4" borderId="6" xfId="5" applyFont="1" applyFill="1" applyBorder="1" applyAlignment="1">
      <alignment horizontal="right" vertical="center"/>
    </xf>
    <xf numFmtId="43" fontId="18" fillId="3" borderId="13" xfId="5" applyFont="1" applyFill="1" applyBorder="1" applyAlignment="1">
      <alignment horizontal="right" vertical="center"/>
    </xf>
    <xf numFmtId="43" fontId="18" fillId="4" borderId="13" xfId="5" applyFont="1" applyFill="1" applyBorder="1" applyAlignment="1">
      <alignment horizontal="right" vertical="center"/>
    </xf>
    <xf numFmtId="43" fontId="18" fillId="3" borderId="13" xfId="5" applyFont="1" applyFill="1" applyBorder="1" applyAlignment="1">
      <alignment horizontal="left" vertical="center"/>
    </xf>
    <xf numFmtId="43" fontId="14" fillId="4" borderId="5" xfId="5" applyFont="1" applyFill="1" applyBorder="1" applyAlignment="1">
      <alignment horizontal="right" vertical="center"/>
    </xf>
    <xf numFmtId="43" fontId="18" fillId="4" borderId="5" xfId="5" applyFont="1" applyFill="1" applyBorder="1" applyAlignment="1">
      <alignment horizontal="right" vertical="center"/>
    </xf>
    <xf numFmtId="0" fontId="23" fillId="0" borderId="0" xfId="0" applyFont="1" applyAlignment="1">
      <alignment vertical="center" wrapText="1"/>
    </xf>
    <xf numFmtId="1" fontId="15" fillId="3" borderId="0" xfId="0" applyNumberFormat="1" applyFont="1" applyFill="1" applyAlignment="1">
      <alignment horizontal="right" vertical="center"/>
    </xf>
    <xf numFmtId="0" fontId="18" fillId="3" borderId="0" xfId="0" applyFont="1" applyFill="1" applyAlignment="1">
      <alignment horizontal="center" vertical="center" wrapText="1"/>
    </xf>
    <xf numFmtId="167" fontId="5" fillId="0" borderId="26" xfId="0" applyNumberFormat="1" applyFont="1" applyBorder="1" applyAlignment="1">
      <alignment horizontal="center" wrapText="1"/>
    </xf>
    <xf numFmtId="167" fontId="5" fillId="0" borderId="28" xfId="0" applyNumberFormat="1" applyFont="1" applyBorder="1" applyAlignment="1">
      <alignment horizontal="right"/>
    </xf>
    <xf numFmtId="2" fontId="0" fillId="3" borderId="26" xfId="0" applyNumberFormat="1" applyFill="1" applyBorder="1"/>
    <xf numFmtId="43" fontId="6" fillId="4" borderId="36" xfId="5" applyFont="1" applyFill="1" applyBorder="1" applyAlignment="1">
      <alignment horizontal="right" wrapText="1"/>
    </xf>
    <xf numFmtId="0" fontId="0" fillId="0" borderId="33" xfId="0" applyBorder="1" applyAlignment="1">
      <alignment horizontal="right"/>
    </xf>
    <xf numFmtId="166" fontId="0" fillId="0" borderId="28" xfId="0" applyNumberFormat="1" applyBorder="1"/>
    <xf numFmtId="166" fontId="5" fillId="0" borderId="28" xfId="0" applyNumberFormat="1" applyFont="1" applyBorder="1" applyAlignment="1">
      <alignment horizontal="right" wrapText="1"/>
    </xf>
    <xf numFmtId="43" fontId="0" fillId="0" borderId="31" xfId="0" applyNumberFormat="1" applyBorder="1"/>
    <xf numFmtId="2" fontId="18" fillId="0" borderId="0" xfId="0" applyNumberFormat="1" applyFont="1" applyAlignment="1">
      <alignment horizontal="center" vertical="center"/>
    </xf>
    <xf numFmtId="43" fontId="18" fillId="4" borderId="0" xfId="5" applyFont="1" applyFill="1" applyBorder="1" applyAlignment="1">
      <alignment horizontal="right" vertical="center"/>
    </xf>
    <xf numFmtId="43" fontId="14" fillId="0" borderId="0" xfId="5" applyFont="1" applyFill="1" applyBorder="1" applyAlignment="1">
      <alignment horizontal="right" vertical="center"/>
    </xf>
    <xf numFmtId="43" fontId="14" fillId="5" borderId="5" xfId="5" applyFont="1" applyFill="1" applyBorder="1" applyAlignment="1">
      <alignment horizontal="right" vertical="center"/>
    </xf>
    <xf numFmtId="4" fontId="5" fillId="3" borderId="28" xfId="0" applyNumberFormat="1" applyFont="1" applyFill="1" applyBorder="1" applyAlignment="1">
      <alignment horizontal="right"/>
    </xf>
    <xf numFmtId="4" fontId="5" fillId="3" borderId="29" xfId="0" applyNumberFormat="1" applyFont="1" applyFill="1" applyBorder="1" applyAlignment="1">
      <alignment horizontal="right"/>
    </xf>
    <xf numFmtId="43" fontId="14" fillId="5" borderId="37" xfId="5" applyFont="1" applyFill="1" applyBorder="1" applyAlignment="1">
      <alignment horizontal="right" vertical="center"/>
    </xf>
    <xf numFmtId="40" fontId="14" fillId="5" borderId="5" xfId="5" applyNumberFormat="1" applyFont="1" applyFill="1" applyBorder="1" applyAlignment="1">
      <alignment horizontal="right" vertical="center"/>
    </xf>
    <xf numFmtId="0" fontId="14" fillId="5" borderId="0" xfId="0" applyFont="1" applyFill="1" applyAlignment="1">
      <alignment horizontal="left" vertical="center"/>
    </xf>
    <xf numFmtId="0" fontId="8" fillId="0" borderId="0" xfId="3" applyFont="1"/>
    <xf numFmtId="0" fontId="25" fillId="0" borderId="0" xfId="3" applyFont="1" applyAlignment="1">
      <alignment horizontal="left"/>
    </xf>
    <xf numFmtId="165" fontId="5" fillId="0" borderId="0" xfId="3" quotePrefix="1" applyNumberFormat="1"/>
    <xf numFmtId="7" fontId="5" fillId="0" borderId="4" xfId="3" applyNumberFormat="1" applyBorder="1"/>
    <xf numFmtId="44" fontId="15" fillId="0" borderId="0" xfId="0" applyNumberFormat="1" applyFont="1"/>
    <xf numFmtId="44" fontId="14" fillId="0" borderId="0" xfId="6" applyFont="1" applyFill="1" applyBorder="1" applyAlignment="1">
      <alignment horizontal="right" vertical="center"/>
    </xf>
    <xf numFmtId="43" fontId="15" fillId="0" borderId="0" xfId="0" applyNumberFormat="1" applyFont="1"/>
    <xf numFmtId="0" fontId="6" fillId="0" borderId="0" xfId="0" applyFont="1"/>
    <xf numFmtId="0" fontId="14" fillId="3" borderId="0" xfId="0" applyFont="1" applyFill="1" applyAlignment="1">
      <alignment horizontal="left" vertical="center"/>
    </xf>
    <xf numFmtId="44" fontId="14" fillId="3" borderId="6" xfId="6" applyFont="1" applyFill="1" applyBorder="1" applyAlignment="1">
      <alignment horizontal="right" vertical="center"/>
    </xf>
    <xf numFmtId="0" fontId="15" fillId="3" borderId="0" xfId="0" applyFont="1" applyFill="1" applyAlignment="1">
      <alignment vertical="center"/>
    </xf>
    <xf numFmtId="0" fontId="28" fillId="0" borderId="0" xfId="0" applyFont="1"/>
    <xf numFmtId="0" fontId="28" fillId="0" borderId="0" xfId="0" applyFont="1" applyAlignment="1">
      <alignment horizontal="right"/>
    </xf>
    <xf numFmtId="0" fontId="31" fillId="0" borderId="0" xfId="0" applyFont="1"/>
    <xf numFmtId="0" fontId="26" fillId="0" borderId="0" xfId="0" applyFont="1" applyAlignment="1">
      <alignment horizontal="left"/>
    </xf>
    <xf numFmtId="0" fontId="31" fillId="0" borderId="6" xfId="0" applyFont="1" applyBorder="1"/>
    <xf numFmtId="0" fontId="26" fillId="0" borderId="0" xfId="0" applyFont="1" applyAlignment="1">
      <alignment horizontal="right"/>
    </xf>
    <xf numFmtId="0" fontId="32" fillId="0" borderId="0" xfId="0" applyFont="1" applyAlignment="1">
      <alignment horizontal="left"/>
    </xf>
    <xf numFmtId="0" fontId="32" fillId="0" borderId="0" xfId="0" applyFont="1"/>
    <xf numFmtId="0" fontId="26" fillId="0" borderId="6" xfId="0" applyFont="1" applyBorder="1"/>
    <xf numFmtId="167" fontId="5" fillId="0" borderId="0" xfId="7" applyNumberFormat="1" applyFont="1"/>
    <xf numFmtId="167" fontId="0" fillId="0" borderId="0" xfId="7" applyNumberFormat="1" applyFont="1"/>
    <xf numFmtId="2" fontId="0" fillId="0" borderId="0" xfId="0" applyNumberFormat="1"/>
    <xf numFmtId="165" fontId="5" fillId="0" borderId="0" xfId="3" applyNumberFormat="1" applyAlignment="1">
      <alignment horizontal="right"/>
    </xf>
    <xf numFmtId="43" fontId="14" fillId="5" borderId="0" xfId="5" applyFont="1" applyFill="1" applyAlignment="1">
      <alignment vertical="center"/>
    </xf>
    <xf numFmtId="43" fontId="14" fillId="5" borderId="0" xfId="5" applyFont="1" applyFill="1" applyBorder="1" applyAlignment="1">
      <alignment horizontal="right" vertical="center"/>
    </xf>
    <xf numFmtId="43" fontId="15" fillId="5" borderId="0" xfId="5" applyFont="1" applyFill="1" applyAlignment="1">
      <alignment horizontal="left" vertical="center"/>
    </xf>
    <xf numFmtId="43" fontId="15" fillId="5" borderId="0" xfId="5" applyFont="1" applyFill="1" applyBorder="1" applyAlignment="1">
      <alignment horizontal="right" vertical="center"/>
    </xf>
    <xf numFmtId="43" fontId="15" fillId="5" borderId="6" xfId="5" applyFont="1" applyFill="1" applyBorder="1" applyAlignment="1">
      <alignment horizontal="right" vertical="center"/>
    </xf>
    <xf numFmtId="43" fontId="14" fillId="5" borderId="0" xfId="5" applyFont="1" applyFill="1" applyAlignment="1">
      <alignment horizontal="left" vertical="center"/>
    </xf>
    <xf numFmtId="43" fontId="14" fillId="5" borderId="7" xfId="5" applyFont="1" applyFill="1" applyBorder="1" applyAlignment="1">
      <alignment horizontal="right" vertical="center"/>
    </xf>
    <xf numFmtId="43" fontId="18" fillId="5" borderId="13" xfId="5" applyFont="1" applyFill="1" applyBorder="1" applyAlignment="1">
      <alignment horizontal="left" vertical="center"/>
    </xf>
    <xf numFmtId="43" fontId="15" fillId="5" borderId="13" xfId="5" applyFont="1" applyFill="1" applyBorder="1" applyAlignment="1">
      <alignment horizontal="right" vertical="center"/>
    </xf>
    <xf numFmtId="43" fontId="18" fillId="5" borderId="0" xfId="5" applyFont="1" applyFill="1" applyAlignment="1">
      <alignment horizontal="left" vertical="center"/>
    </xf>
    <xf numFmtId="43" fontId="15" fillId="5" borderId="0" xfId="5" applyFont="1" applyFill="1" applyBorder="1" applyAlignment="1">
      <alignment horizontal="left" vertical="center"/>
    </xf>
    <xf numFmtId="43" fontId="18" fillId="5" borderId="0" xfId="5" applyFont="1" applyFill="1" applyBorder="1" applyAlignment="1">
      <alignment horizontal="left" vertical="center"/>
    </xf>
    <xf numFmtId="43" fontId="18" fillId="5" borderId="5" xfId="5" applyFont="1" applyFill="1" applyBorder="1" applyAlignment="1">
      <alignment horizontal="right" vertical="center"/>
    </xf>
    <xf numFmtId="0" fontId="15" fillId="5" borderId="0" xfId="0" applyFont="1" applyFill="1"/>
    <xf numFmtId="43" fontId="15" fillId="5" borderId="0" xfId="5" applyFont="1" applyFill="1" applyAlignment="1">
      <alignment horizontal="right" vertical="center"/>
    </xf>
    <xf numFmtId="43" fontId="14" fillId="4" borderId="37" xfId="5" applyFont="1" applyFill="1" applyBorder="1" applyAlignment="1">
      <alignment horizontal="right" vertical="center"/>
    </xf>
    <xf numFmtId="40" fontId="14" fillId="4" borderId="5" xfId="5" applyNumberFormat="1" applyFont="1" applyFill="1" applyBorder="1" applyAlignment="1">
      <alignment horizontal="right" vertical="center"/>
    </xf>
    <xf numFmtId="0" fontId="14" fillId="4" borderId="0" xfId="0" applyFont="1" applyFill="1" applyAlignment="1">
      <alignment horizontal="left" vertical="center"/>
    </xf>
    <xf numFmtId="43" fontId="14" fillId="3" borderId="0" xfId="5" applyFont="1" applyFill="1" applyAlignment="1">
      <alignment horizontal="right" vertical="center"/>
    </xf>
    <xf numFmtId="0" fontId="0" fillId="7" borderId="0" xfId="0" applyFill="1"/>
    <xf numFmtId="0" fontId="5" fillId="3" borderId="0" xfId="0" applyFont="1" applyFill="1"/>
    <xf numFmtId="0" fontId="0" fillId="3" borderId="0" xfId="0" applyFill="1"/>
    <xf numFmtId="0" fontId="32" fillId="7" borderId="18" xfId="0" applyFont="1" applyFill="1" applyBorder="1" applyAlignment="1">
      <alignment horizontal="center" wrapText="1"/>
    </xf>
    <xf numFmtId="0" fontId="32" fillId="7" borderId="19" xfId="0" applyFont="1" applyFill="1" applyBorder="1" applyAlignment="1">
      <alignment horizontal="center" wrapText="1"/>
    </xf>
    <xf numFmtId="0" fontId="27" fillId="7" borderId="24" xfId="0" applyFont="1" applyFill="1" applyBorder="1" applyAlignment="1">
      <alignment horizontal="center" wrapText="1"/>
    </xf>
    <xf numFmtId="0" fontId="8" fillId="7" borderId="17" xfId="0" applyFont="1" applyFill="1" applyBorder="1" applyAlignment="1">
      <alignment horizontal="center"/>
    </xf>
    <xf numFmtId="0" fontId="25" fillId="7" borderId="18" xfId="0" applyFont="1" applyFill="1" applyBorder="1" applyAlignment="1">
      <alignment horizontal="center" wrapText="1"/>
    </xf>
    <xf numFmtId="0" fontId="8" fillId="7" borderId="18" xfId="0" applyFont="1" applyFill="1" applyBorder="1" applyAlignment="1">
      <alignment horizontal="center" wrapText="1"/>
    </xf>
    <xf numFmtId="0" fontId="14" fillId="7" borderId="23" xfId="0" applyFont="1" applyFill="1" applyBorder="1" applyAlignment="1">
      <alignment horizontal="left" wrapText="1"/>
    </xf>
    <xf numFmtId="0" fontId="0" fillId="7" borderId="24" xfId="0" applyFill="1" applyBorder="1"/>
    <xf numFmtId="0" fontId="15" fillId="7" borderId="24" xfId="0" applyFont="1" applyFill="1" applyBorder="1"/>
    <xf numFmtId="2" fontId="0" fillId="7" borderId="26" xfId="0" applyNumberFormat="1" applyFill="1" applyBorder="1"/>
    <xf numFmtId="0" fontId="6" fillId="7" borderId="25" xfId="0" applyFont="1" applyFill="1" applyBorder="1" applyAlignment="1">
      <alignment horizontal="center"/>
    </xf>
    <xf numFmtId="0" fontId="6" fillId="7" borderId="32" xfId="0" applyFont="1" applyFill="1" applyBorder="1" applyAlignment="1">
      <alignment horizontal="left"/>
    </xf>
    <xf numFmtId="0" fontId="6" fillId="7" borderId="35" xfId="0" applyFont="1" applyFill="1" applyBorder="1" applyAlignment="1">
      <alignment horizontal="right"/>
    </xf>
    <xf numFmtId="0" fontId="5" fillId="7" borderId="25" xfId="0" applyFont="1" applyFill="1" applyBorder="1" applyAlignment="1">
      <alignment horizontal="left"/>
    </xf>
    <xf numFmtId="0" fontId="6" fillId="7" borderId="32" xfId="0" applyFont="1" applyFill="1" applyBorder="1" applyAlignment="1">
      <alignment horizontal="left" wrapText="1"/>
    </xf>
    <xf numFmtId="0" fontId="0" fillId="7" borderId="25" xfId="0" applyFill="1" applyBorder="1"/>
    <xf numFmtId="0" fontId="6" fillId="7" borderId="32" xfId="0" applyFont="1" applyFill="1" applyBorder="1"/>
    <xf numFmtId="0" fontId="5" fillId="7" borderId="25" xfId="0" applyFont="1" applyFill="1" applyBorder="1"/>
    <xf numFmtId="0" fontId="6" fillId="7" borderId="30" xfId="0" applyFont="1" applyFill="1" applyBorder="1" applyAlignment="1">
      <alignment horizontal="right" indent="1"/>
    </xf>
    <xf numFmtId="167" fontId="6" fillId="3" borderId="33" xfId="0" applyNumberFormat="1" applyFont="1" applyFill="1" applyBorder="1" applyAlignment="1">
      <alignment horizontal="center"/>
    </xf>
    <xf numFmtId="166" fontId="0" fillId="3" borderId="26" xfId="5" applyNumberFormat="1" applyFont="1" applyFill="1" applyBorder="1"/>
    <xf numFmtId="166" fontId="0" fillId="3" borderId="28" xfId="5" applyNumberFormat="1" applyFont="1" applyFill="1" applyBorder="1"/>
    <xf numFmtId="166" fontId="5" fillId="3" borderId="26" xfId="5" applyNumberFormat="1" applyFont="1" applyFill="1" applyBorder="1" applyAlignment="1">
      <alignment horizontal="right" wrapText="1"/>
    </xf>
    <xf numFmtId="166" fontId="5" fillId="3" borderId="28" xfId="5" applyNumberFormat="1" applyFont="1" applyFill="1" applyBorder="1" applyAlignment="1">
      <alignment horizontal="right" wrapText="1"/>
    </xf>
    <xf numFmtId="167" fontId="6" fillId="3" borderId="33" xfId="0" applyNumberFormat="1" applyFont="1" applyFill="1" applyBorder="1" applyAlignment="1">
      <alignment horizontal="center" wrapText="1"/>
    </xf>
    <xf numFmtId="43" fontId="5" fillId="0" borderId="0" xfId="5" applyFont="1" applyFill="1" applyAlignment="1">
      <alignment horizontal="right"/>
    </xf>
    <xf numFmtId="43" fontId="5" fillId="0" borderId="28" xfId="5" applyFont="1" applyFill="1" applyBorder="1" applyAlignment="1">
      <alignment horizontal="right"/>
    </xf>
    <xf numFmtId="0" fontId="33" fillId="7" borderId="0" xfId="0" applyFont="1" applyFill="1"/>
    <xf numFmtId="0" fontId="35" fillId="0" borderId="0" xfId="8" applyFont="1" applyAlignment="1">
      <alignment horizontal="center" vertical="center"/>
    </xf>
    <xf numFmtId="0" fontId="36" fillId="0" borderId="0" xfId="8" applyFont="1"/>
    <xf numFmtId="0" fontId="37" fillId="0" borderId="0" xfId="8" applyFont="1" applyAlignment="1">
      <alignment vertical="center" wrapText="1"/>
    </xf>
    <xf numFmtId="0" fontId="38" fillId="7" borderId="38" xfId="8" applyFont="1" applyFill="1" applyBorder="1"/>
    <xf numFmtId="0" fontId="39" fillId="7" borderId="15" xfId="8" applyFont="1" applyFill="1" applyBorder="1" applyAlignment="1">
      <alignment horizontal="center" vertical="center"/>
    </xf>
    <xf numFmtId="0" fontId="39" fillId="7" borderId="39" xfId="8" applyFont="1" applyFill="1" applyBorder="1" applyAlignment="1">
      <alignment horizontal="center" vertical="center"/>
    </xf>
    <xf numFmtId="0" fontId="39" fillId="7" borderId="36" xfId="8" applyFont="1" applyFill="1" applyBorder="1" applyAlignment="1">
      <alignment horizontal="right"/>
    </xf>
    <xf numFmtId="0" fontId="38" fillId="7" borderId="36" xfId="8" applyFont="1" applyFill="1" applyBorder="1" applyAlignment="1">
      <alignment horizontal="center" vertical="center"/>
    </xf>
    <xf numFmtId="0" fontId="38" fillId="3" borderId="36" xfId="8" applyFont="1" applyFill="1" applyBorder="1" applyAlignment="1">
      <alignment horizontal="center" vertical="center"/>
    </xf>
    <xf numFmtId="168" fontId="38" fillId="7" borderId="36" xfId="8" applyNumberFormat="1" applyFont="1" applyFill="1" applyBorder="1" applyAlignment="1">
      <alignment horizontal="center" vertical="center"/>
    </xf>
    <xf numFmtId="0" fontId="39" fillId="7" borderId="36" xfId="8" applyFont="1" applyFill="1" applyBorder="1" applyAlignment="1">
      <alignment horizontal="center"/>
    </xf>
    <xf numFmtId="0" fontId="38" fillId="7" borderId="36" xfId="8" applyFont="1" applyFill="1" applyBorder="1" applyAlignment="1">
      <alignment horizontal="right"/>
    </xf>
    <xf numFmtId="167" fontId="38" fillId="3" borderId="36" xfId="8" applyNumberFormat="1" applyFont="1" applyFill="1" applyBorder="1" applyAlignment="1">
      <alignment horizontal="center" vertical="center"/>
    </xf>
    <xf numFmtId="168" fontId="38" fillId="3" borderId="36" xfId="8" applyNumberFormat="1" applyFont="1" applyFill="1" applyBorder="1" applyAlignment="1">
      <alignment horizontal="center" vertical="center"/>
    </xf>
    <xf numFmtId="168" fontId="37" fillId="7" borderId="36" xfId="8" applyNumberFormat="1" applyFont="1" applyFill="1" applyBorder="1" applyAlignment="1">
      <alignment horizontal="center" vertical="center"/>
    </xf>
    <xf numFmtId="168" fontId="40" fillId="7" borderId="36" xfId="8" applyNumberFormat="1" applyFont="1" applyFill="1" applyBorder="1" applyAlignment="1">
      <alignment horizontal="center" vertical="center"/>
    </xf>
    <xf numFmtId="0" fontId="36" fillId="0" borderId="0" xfId="8" applyFont="1" applyAlignment="1">
      <alignment vertical="center"/>
    </xf>
    <xf numFmtId="0" fontId="36" fillId="0" borderId="0" xfId="8" applyFont="1" applyAlignment="1">
      <alignment horizontal="center" vertical="center"/>
    </xf>
    <xf numFmtId="167" fontId="38" fillId="3" borderId="36" xfId="7" applyNumberFormat="1" applyFont="1" applyFill="1" applyBorder="1" applyAlignment="1">
      <alignment horizontal="center" vertical="center"/>
    </xf>
    <xf numFmtId="43" fontId="5" fillId="0" borderId="7" xfId="3" applyNumberFormat="1" applyBorder="1"/>
    <xf numFmtId="43" fontId="15" fillId="3" borderId="0" xfId="2" applyFont="1" applyFill="1" applyAlignment="1">
      <alignment horizontal="left" vertical="center"/>
    </xf>
    <xf numFmtId="43" fontId="15" fillId="5" borderId="0" xfId="2" applyFont="1" applyFill="1" applyAlignment="1">
      <alignment horizontal="left" vertical="center"/>
    </xf>
    <xf numFmtId="43" fontId="15" fillId="3" borderId="6" xfId="2" applyFont="1" applyFill="1" applyBorder="1" applyAlignment="1">
      <alignment horizontal="left" vertical="center"/>
    </xf>
    <xf numFmtId="0" fontId="14" fillId="0" borderId="0" xfId="0" applyFont="1" applyAlignment="1">
      <alignment vertical="center"/>
    </xf>
    <xf numFmtId="7" fontId="10" fillId="0" borderId="0" xfId="0" applyNumberFormat="1" applyFont="1"/>
    <xf numFmtId="0" fontId="10" fillId="0" borderId="0" xfId="0" applyFont="1"/>
    <xf numFmtId="0" fontId="5" fillId="0" borderId="0" xfId="3" applyAlignment="1">
      <alignment horizontal="left" wrapText="1"/>
    </xf>
    <xf numFmtId="0" fontId="26" fillId="0" borderId="0" xfId="3" applyFont="1"/>
    <xf numFmtId="9" fontId="5" fillId="3" borderId="0" xfId="7" applyFont="1" applyFill="1"/>
    <xf numFmtId="0" fontId="39" fillId="3" borderId="36" xfId="8" applyFont="1" applyFill="1" applyBorder="1" applyAlignment="1">
      <alignment horizontal="right"/>
    </xf>
    <xf numFmtId="0" fontId="23" fillId="3" borderId="0" xfId="0" applyFont="1" applyFill="1" applyAlignment="1">
      <alignment horizontal="center" vertical="center" wrapText="1"/>
    </xf>
    <xf numFmtId="0" fontId="18" fillId="3" borderId="0" xfId="0" applyFont="1" applyFill="1" applyAlignment="1">
      <alignment horizontal="center" vertical="center" wrapText="1"/>
    </xf>
    <xf numFmtId="0" fontId="18" fillId="5" borderId="0" xfId="0" applyFont="1" applyFill="1" applyAlignment="1">
      <alignment horizontal="center" vertical="center" wrapText="1"/>
    </xf>
    <xf numFmtId="0" fontId="18" fillId="3" borderId="0" xfId="0" applyFont="1" applyFill="1" applyAlignment="1">
      <alignment horizontal="center" vertical="center"/>
    </xf>
    <xf numFmtId="0" fontId="26" fillId="0" borderId="20" xfId="0" applyFont="1" applyBorder="1" applyAlignment="1">
      <alignment horizontal="center"/>
    </xf>
    <xf numFmtId="0" fontId="26" fillId="0" borderId="21" xfId="0" applyFont="1" applyBorder="1" applyAlignment="1">
      <alignment horizontal="center"/>
    </xf>
    <xf numFmtId="0" fontId="26" fillId="0" borderId="22" xfId="0" applyFont="1" applyBorder="1" applyAlignment="1">
      <alignment horizontal="center"/>
    </xf>
    <xf numFmtId="0" fontId="5" fillId="0" borderId="6" xfId="3" applyBorder="1" applyAlignment="1">
      <alignment horizontal="left" wrapText="1"/>
    </xf>
    <xf numFmtId="0" fontId="38" fillId="7" borderId="42" xfId="8" applyFont="1" applyFill="1" applyBorder="1" applyAlignment="1">
      <alignment horizontal="center" vertical="center"/>
    </xf>
    <xf numFmtId="0" fontId="38" fillId="7" borderId="13" xfId="8" applyFont="1" applyFill="1" applyBorder="1" applyAlignment="1">
      <alignment horizontal="center" vertical="center"/>
    </xf>
    <xf numFmtId="0" fontId="38" fillId="7" borderId="43" xfId="8" applyFont="1" applyFill="1" applyBorder="1" applyAlignment="1">
      <alignment horizontal="center" vertical="center"/>
    </xf>
    <xf numFmtId="0" fontId="34" fillId="3" borderId="38" xfId="8" applyFont="1" applyFill="1" applyBorder="1" applyAlignment="1">
      <alignment horizontal="center" vertical="center"/>
    </xf>
    <xf numFmtId="0" fontId="34" fillId="3" borderId="15" xfId="8" applyFont="1" applyFill="1" applyBorder="1" applyAlignment="1">
      <alignment horizontal="center" vertical="center"/>
    </xf>
    <xf numFmtId="0" fontId="34" fillId="3" borderId="39" xfId="8" applyFont="1" applyFill="1" applyBorder="1" applyAlignment="1">
      <alignment horizontal="center" vertical="center"/>
    </xf>
    <xf numFmtId="0" fontId="37" fillId="7" borderId="40" xfId="8" applyFont="1" applyFill="1" applyBorder="1" applyAlignment="1">
      <alignment horizontal="left" vertical="center" wrapText="1"/>
    </xf>
    <xf numFmtId="0" fontId="37" fillId="7" borderId="6" xfId="8" applyFont="1" applyFill="1" applyBorder="1" applyAlignment="1">
      <alignment horizontal="left" vertical="center" wrapText="1"/>
    </xf>
    <xf numFmtId="0" fontId="37" fillId="7" borderId="41" xfId="8" applyFont="1" applyFill="1" applyBorder="1" applyAlignment="1">
      <alignment horizontal="left" vertical="center" wrapText="1"/>
    </xf>
    <xf numFmtId="0" fontId="38" fillId="7" borderId="40" xfId="8" applyFont="1" applyFill="1" applyBorder="1" applyAlignment="1">
      <alignment horizontal="left" vertical="center" wrapText="1"/>
    </xf>
    <xf numFmtId="0" fontId="38" fillId="7" borderId="6" xfId="8" applyFont="1" applyFill="1" applyBorder="1" applyAlignment="1">
      <alignment horizontal="left" vertical="center" wrapText="1"/>
    </xf>
    <xf numFmtId="0" fontId="38" fillId="7" borderId="41" xfId="8" applyFont="1" applyFill="1" applyBorder="1" applyAlignment="1">
      <alignment horizontal="left" vertical="center" wrapText="1"/>
    </xf>
    <xf numFmtId="0" fontId="38" fillId="7" borderId="42" xfId="8" applyFont="1" applyFill="1" applyBorder="1" applyAlignment="1">
      <alignment horizontal="center"/>
    </xf>
    <xf numFmtId="0" fontId="38" fillId="7" borderId="13" xfId="8" applyFont="1" applyFill="1" applyBorder="1" applyAlignment="1">
      <alignment horizontal="center"/>
    </xf>
    <xf numFmtId="0" fontId="38" fillId="7" borderId="43" xfId="8" applyFont="1" applyFill="1" applyBorder="1" applyAlignment="1">
      <alignment horizontal="center"/>
    </xf>
    <xf numFmtId="0" fontId="39" fillId="0" borderId="13" xfId="8" applyFont="1" applyBorder="1" applyAlignment="1">
      <alignment horizontal="center"/>
    </xf>
    <xf numFmtId="0" fontId="4" fillId="3" borderId="0" xfId="4" applyFill="1" applyAlignment="1">
      <alignment horizontal="center"/>
    </xf>
    <xf numFmtId="0" fontId="4" fillId="0" borderId="0" xfId="4" applyAlignment="1">
      <alignment horizontal="center"/>
    </xf>
    <xf numFmtId="0" fontId="17" fillId="2" borderId="0" xfId="4" applyFont="1" applyFill="1" applyAlignment="1">
      <alignment horizontal="center" vertical="center" wrapText="1"/>
    </xf>
    <xf numFmtId="0" fontId="18" fillId="0" borderId="0" xfId="4" applyFont="1" applyAlignment="1">
      <alignment horizontal="center" vertical="center"/>
    </xf>
    <xf numFmtId="0" fontId="19" fillId="2" borderId="0" xfId="4" applyFont="1" applyFill="1" applyAlignment="1">
      <alignment horizontal="center" vertical="center"/>
    </xf>
    <xf numFmtId="0" fontId="19" fillId="2" borderId="6" xfId="4" applyFont="1" applyFill="1" applyBorder="1" applyAlignment="1">
      <alignment horizontal="center" vertical="center"/>
    </xf>
    <xf numFmtId="0" fontId="20" fillId="0" borderId="0" xfId="0" applyFont="1" applyAlignment="1">
      <alignment horizontal="left" vertical="center"/>
    </xf>
    <xf numFmtId="0" fontId="20" fillId="0" borderId="0" xfId="4" applyFont="1" applyAlignment="1">
      <alignment horizontal="left" vertical="center"/>
    </xf>
  </cellXfs>
  <cellStyles count="9">
    <cellStyle name="Comma" xfId="5" builtinId="3"/>
    <cellStyle name="Comma 2" xfId="2" xr:uid="{00000000-0005-0000-0000-000001000000}"/>
    <cellStyle name="Currency" xfId="6" builtinId="4"/>
    <cellStyle name="Currency 2" xfId="1" xr:uid="{00000000-0005-0000-0000-000003000000}"/>
    <cellStyle name="Normal" xfId="0" builtinId="0"/>
    <cellStyle name="Normal 2" xfId="3" xr:uid="{00000000-0005-0000-0000-000005000000}"/>
    <cellStyle name="Normal 3" xfId="4" xr:uid="{00000000-0005-0000-0000-000006000000}"/>
    <cellStyle name="Normal 4" xfId="8" xr:uid="{94F43740-D356-4C8A-9671-6D1CE1189C6F}"/>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74"/>
  <sheetViews>
    <sheetView tabSelected="1" zoomScaleNormal="100" workbookViewId="0">
      <pane xSplit="1" ySplit="3" topLeftCell="Y4" activePane="bottomRight" state="frozen"/>
      <selection pane="topRight" activeCell="B1" sqref="B1"/>
      <selection pane="bottomLeft" activeCell="A4" sqref="A4"/>
      <selection pane="bottomRight" sqref="A1:K3"/>
    </sheetView>
  </sheetViews>
  <sheetFormatPr defaultColWidth="9.109375" defaultRowHeight="14.4" x14ac:dyDescent="0.3"/>
  <cols>
    <col min="1" max="1" width="33.6640625" style="111" customWidth="1"/>
    <col min="2" max="2" width="12.5546875" style="111" customWidth="1"/>
    <col min="3" max="3" width="12.44140625" style="111" customWidth="1"/>
    <col min="4" max="4" width="4.5546875" style="111" customWidth="1"/>
    <col min="5" max="5" width="33.6640625" style="111" customWidth="1"/>
    <col min="6" max="6" width="12.88671875" style="111" customWidth="1"/>
    <col min="7" max="7" width="11" style="111" customWidth="1"/>
    <col min="8" max="8" width="4.5546875" style="111" customWidth="1"/>
    <col min="9" max="9" width="33.6640625" style="111" customWidth="1"/>
    <col min="10" max="10" width="12.5546875" style="111" customWidth="1"/>
    <col min="11" max="11" width="10.5546875" style="111" customWidth="1"/>
    <col min="12" max="12" width="4.5546875" style="111" customWidth="1"/>
    <col min="13" max="13" width="33.6640625" style="111" customWidth="1"/>
    <col min="14" max="14" width="13.109375" style="111" customWidth="1"/>
    <col min="15" max="15" width="11" style="111" customWidth="1"/>
    <col min="16" max="16" width="4.5546875" style="111" customWidth="1"/>
    <col min="17" max="17" width="33.6640625" style="111" customWidth="1"/>
    <col min="18" max="18" width="11.44140625" style="111" customWidth="1"/>
    <col min="19" max="19" width="10.44140625" style="111" customWidth="1"/>
    <col min="20" max="20" width="4.5546875" style="111" customWidth="1"/>
    <col min="21" max="21" width="33.6640625" style="111" customWidth="1"/>
    <col min="22" max="22" width="11.109375" style="111" customWidth="1"/>
    <col min="23" max="23" width="10.5546875" style="111" customWidth="1"/>
    <col min="24" max="24" width="4.5546875" style="111" customWidth="1"/>
    <col min="25" max="25" width="33.6640625" style="111" customWidth="1"/>
    <col min="26" max="26" width="13.109375" style="111" customWidth="1"/>
    <col min="27" max="27" width="11.44140625" style="111" customWidth="1"/>
    <col min="28" max="28" width="4.5546875" style="111" customWidth="1"/>
    <col min="29" max="29" width="33.6640625" style="111" customWidth="1"/>
    <col min="30" max="30" width="11.44140625" style="111" customWidth="1"/>
    <col min="31" max="31" width="12" style="111" customWidth="1"/>
    <col min="32" max="32" width="3.88671875" style="111" customWidth="1"/>
    <col min="33" max="33" width="33.6640625" style="111" customWidth="1"/>
    <col min="34" max="34" width="11.44140625" style="111" customWidth="1"/>
    <col min="35" max="35" width="12" style="111" customWidth="1"/>
    <col min="36" max="36" width="4.5546875" style="111" customWidth="1"/>
    <col min="37" max="37" width="33.6640625" style="111" customWidth="1"/>
    <col min="38" max="38" width="13.44140625" style="111" customWidth="1"/>
    <col min="39" max="39" width="11.44140625" style="111" customWidth="1"/>
    <col min="40" max="40" width="11.5546875" style="111" bestFit="1" customWidth="1"/>
    <col min="41" max="16384" width="9.109375" style="111"/>
  </cols>
  <sheetData>
    <row r="1" spans="1:39" ht="15" customHeight="1" x14ac:dyDescent="0.3">
      <c r="A1" s="327" t="s">
        <v>389</v>
      </c>
      <c r="B1" s="327"/>
      <c r="C1" s="327"/>
      <c r="D1" s="327"/>
      <c r="E1" s="327"/>
      <c r="F1" s="327"/>
      <c r="G1" s="327"/>
      <c r="H1" s="327"/>
      <c r="I1" s="327"/>
      <c r="J1" s="327"/>
      <c r="K1" s="327"/>
      <c r="L1" s="203"/>
      <c r="M1" s="327" t="str">
        <f>A1</f>
        <v>FY26 - Acct #22xxxxx -Acct Title
(Updated Date - MM/DD/YY)</v>
      </c>
      <c r="N1" s="327"/>
      <c r="O1" s="327"/>
      <c r="P1" s="327"/>
      <c r="Q1" s="327"/>
      <c r="R1" s="327"/>
      <c r="S1" s="327"/>
      <c r="T1" s="327"/>
      <c r="U1" s="327"/>
      <c r="V1" s="327"/>
      <c r="W1" s="327"/>
      <c r="X1" s="114"/>
      <c r="Y1" s="327" t="str">
        <f>M1</f>
        <v>FY26 - Acct #22xxxxx -Acct Title
(Updated Date - MM/DD/YY)</v>
      </c>
      <c r="Z1" s="327"/>
      <c r="AA1" s="327"/>
      <c r="AB1" s="327"/>
      <c r="AC1" s="327"/>
      <c r="AD1" s="327"/>
      <c r="AE1" s="327"/>
      <c r="AF1" s="327"/>
      <c r="AG1" s="327"/>
      <c r="AH1" s="327"/>
      <c r="AI1" s="327"/>
      <c r="AJ1" s="327"/>
      <c r="AK1" s="327"/>
      <c r="AL1" s="327"/>
      <c r="AM1" s="327"/>
    </row>
    <row r="2" spans="1:39" ht="15" customHeight="1" x14ac:dyDescent="0.3">
      <c r="A2" s="327"/>
      <c r="B2" s="327"/>
      <c r="C2" s="327"/>
      <c r="D2" s="327"/>
      <c r="E2" s="327"/>
      <c r="F2" s="327"/>
      <c r="G2" s="327"/>
      <c r="H2" s="327"/>
      <c r="I2" s="327"/>
      <c r="J2" s="327"/>
      <c r="K2" s="327"/>
      <c r="L2" s="203"/>
      <c r="M2" s="327"/>
      <c r="N2" s="327"/>
      <c r="O2" s="327"/>
      <c r="P2" s="327"/>
      <c r="Q2" s="327"/>
      <c r="R2" s="327"/>
      <c r="S2" s="327"/>
      <c r="T2" s="327"/>
      <c r="U2" s="327"/>
      <c r="V2" s="327"/>
      <c r="W2" s="327"/>
      <c r="X2" s="114"/>
      <c r="Y2" s="327"/>
      <c r="Z2" s="327"/>
      <c r="AA2" s="327"/>
      <c r="AB2" s="327"/>
      <c r="AC2" s="327"/>
      <c r="AD2" s="327"/>
      <c r="AE2" s="327"/>
      <c r="AF2" s="327"/>
      <c r="AG2" s="327"/>
      <c r="AH2" s="327"/>
      <c r="AI2" s="327"/>
      <c r="AJ2" s="327"/>
      <c r="AK2" s="327"/>
      <c r="AL2" s="327"/>
      <c r="AM2" s="327"/>
    </row>
    <row r="3" spans="1:39" ht="15" customHeight="1" x14ac:dyDescent="0.3">
      <c r="A3" s="327"/>
      <c r="B3" s="327"/>
      <c r="C3" s="327"/>
      <c r="D3" s="327"/>
      <c r="E3" s="327"/>
      <c r="F3" s="327"/>
      <c r="G3" s="327"/>
      <c r="H3" s="327"/>
      <c r="I3" s="327"/>
      <c r="J3" s="327"/>
      <c r="K3" s="327"/>
      <c r="L3" s="203"/>
      <c r="M3" s="327"/>
      <c r="N3" s="327"/>
      <c r="O3" s="327"/>
      <c r="P3" s="327"/>
      <c r="Q3" s="327"/>
      <c r="R3" s="327"/>
      <c r="S3" s="327"/>
      <c r="T3" s="327"/>
      <c r="U3" s="327"/>
      <c r="V3" s="327"/>
      <c r="W3" s="327"/>
      <c r="X3" s="114"/>
      <c r="Y3" s="327"/>
      <c r="Z3" s="327"/>
      <c r="AA3" s="327"/>
      <c r="AB3" s="327"/>
      <c r="AC3" s="327"/>
      <c r="AD3" s="327"/>
      <c r="AE3" s="327"/>
      <c r="AF3" s="327"/>
      <c r="AG3" s="327"/>
      <c r="AH3" s="327"/>
      <c r="AI3" s="327"/>
      <c r="AJ3" s="327"/>
      <c r="AK3" s="327"/>
      <c r="AL3" s="327"/>
      <c r="AM3" s="327"/>
    </row>
    <row r="4" spans="1:39" ht="15" customHeight="1" x14ac:dyDescent="0.3">
      <c r="A4" s="193" t="s">
        <v>331</v>
      </c>
    </row>
    <row r="5" spans="1:39" ht="15" customHeight="1" x14ac:dyDescent="0.3">
      <c r="A5" s="193" t="s">
        <v>332</v>
      </c>
    </row>
    <row r="6" spans="1:39" ht="15" customHeight="1" x14ac:dyDescent="0.3">
      <c r="A6" s="193" t="s">
        <v>333</v>
      </c>
    </row>
    <row r="7" spans="1:39" ht="15" customHeight="1" x14ac:dyDescent="0.3">
      <c r="A7" s="193" t="s">
        <v>345</v>
      </c>
    </row>
    <row r="8" spans="1:39" ht="15" customHeight="1" x14ac:dyDescent="0.3">
      <c r="A8" s="193" t="s">
        <v>344</v>
      </c>
    </row>
    <row r="9" spans="1:39" ht="15" customHeight="1" x14ac:dyDescent="0.3">
      <c r="A9" s="328" t="s">
        <v>291</v>
      </c>
      <c r="B9" s="330"/>
      <c r="C9" s="330"/>
      <c r="D9" s="96"/>
      <c r="E9" s="328" t="s">
        <v>292</v>
      </c>
      <c r="F9" s="330"/>
      <c r="G9" s="330"/>
      <c r="I9" s="328" t="s">
        <v>300</v>
      </c>
      <c r="J9" s="330"/>
      <c r="K9" s="330"/>
      <c r="M9" s="328" t="s">
        <v>294</v>
      </c>
      <c r="N9" s="330"/>
      <c r="O9" s="330"/>
      <c r="Q9" s="328" t="s">
        <v>301</v>
      </c>
      <c r="R9" s="328"/>
      <c r="S9" s="328"/>
      <c r="U9" s="328" t="s">
        <v>296</v>
      </c>
      <c r="V9" s="328"/>
      <c r="W9" s="328"/>
      <c r="Y9" s="328" t="s">
        <v>297</v>
      </c>
      <c r="Z9" s="328"/>
      <c r="AA9" s="328"/>
      <c r="AC9" s="328" t="s">
        <v>302</v>
      </c>
      <c r="AD9" s="328"/>
      <c r="AE9" s="328"/>
      <c r="AF9" s="205"/>
      <c r="AG9" s="328" t="s">
        <v>299</v>
      </c>
      <c r="AH9" s="328"/>
      <c r="AI9" s="328"/>
      <c r="AJ9" s="147"/>
      <c r="AK9" s="329" t="s">
        <v>196</v>
      </c>
      <c r="AL9" s="329"/>
      <c r="AM9" s="329"/>
    </row>
    <row r="10" spans="1:39" x14ac:dyDescent="0.3">
      <c r="A10" s="330"/>
      <c r="B10" s="330"/>
      <c r="C10" s="330"/>
      <c r="D10" s="96"/>
      <c r="E10" s="330"/>
      <c r="F10" s="330"/>
      <c r="G10" s="330"/>
      <c r="I10" s="330"/>
      <c r="J10" s="330"/>
      <c r="K10" s="330"/>
      <c r="M10" s="330"/>
      <c r="N10" s="330"/>
      <c r="O10" s="330"/>
      <c r="Q10" s="328"/>
      <c r="R10" s="328"/>
      <c r="S10" s="328"/>
      <c r="U10" s="328"/>
      <c r="V10" s="328"/>
      <c r="W10" s="328"/>
      <c r="Y10" s="328"/>
      <c r="Z10" s="328"/>
      <c r="AA10" s="328"/>
      <c r="AC10" s="328"/>
      <c r="AD10" s="328"/>
      <c r="AE10" s="328"/>
      <c r="AF10" s="205"/>
      <c r="AG10" s="328"/>
      <c r="AH10" s="328"/>
      <c r="AI10" s="328"/>
      <c r="AJ10" s="147"/>
      <c r="AK10" s="329"/>
      <c r="AL10" s="329"/>
      <c r="AM10" s="329"/>
    </row>
    <row r="11" spans="1:39" x14ac:dyDescent="0.3">
      <c r="A11" s="96"/>
      <c r="B11" s="97"/>
      <c r="C11" s="97"/>
      <c r="D11" s="97"/>
      <c r="E11" s="96"/>
      <c r="F11" s="97"/>
      <c r="G11" s="97"/>
      <c r="I11" s="96"/>
      <c r="J11" s="97"/>
      <c r="K11" s="97"/>
      <c r="M11" s="96"/>
      <c r="N11" s="97"/>
      <c r="O11" s="97"/>
      <c r="Q11" s="96"/>
      <c r="R11" s="97"/>
      <c r="S11" s="97"/>
      <c r="U11" s="96"/>
      <c r="V11" s="97"/>
      <c r="W11" s="97"/>
      <c r="Y11" s="96"/>
      <c r="Z11" s="97"/>
      <c r="AA11" s="97"/>
      <c r="AC11" s="96"/>
      <c r="AD11" s="97"/>
      <c r="AE11" s="97"/>
      <c r="AF11" s="97"/>
      <c r="AG11" s="97"/>
      <c r="AH11" s="97"/>
      <c r="AI11" s="97"/>
      <c r="AJ11" s="147"/>
      <c r="AK11" s="96"/>
      <c r="AL11" s="97"/>
      <c r="AM11" s="97"/>
    </row>
    <row r="12" spans="1:39" x14ac:dyDescent="0.3">
      <c r="A12" s="98" t="s">
        <v>0</v>
      </c>
      <c r="B12" s="132" t="s">
        <v>1</v>
      </c>
      <c r="C12" s="132" t="s">
        <v>2</v>
      </c>
      <c r="D12" s="99"/>
      <c r="E12" s="98" t="s">
        <v>0</v>
      </c>
      <c r="F12" s="132" t="s">
        <v>1</v>
      </c>
      <c r="G12" s="132" t="s">
        <v>2</v>
      </c>
      <c r="I12" s="98" t="s">
        <v>0</v>
      </c>
      <c r="J12" s="132" t="s">
        <v>1</v>
      </c>
      <c r="K12" s="132" t="s">
        <v>2</v>
      </c>
      <c r="M12" s="98" t="s">
        <v>0</v>
      </c>
      <c r="N12" s="132" t="s">
        <v>1</v>
      </c>
      <c r="O12" s="132" t="s">
        <v>2</v>
      </c>
      <c r="Q12" s="98" t="s">
        <v>0</v>
      </c>
      <c r="R12" s="132" t="s">
        <v>1</v>
      </c>
      <c r="S12" s="132" t="s">
        <v>2</v>
      </c>
      <c r="U12" s="98" t="s">
        <v>0</v>
      </c>
      <c r="V12" s="132" t="s">
        <v>1</v>
      </c>
      <c r="W12" s="132" t="s">
        <v>2</v>
      </c>
      <c r="Y12" s="98" t="s">
        <v>0</v>
      </c>
      <c r="Z12" s="132" t="s">
        <v>1</v>
      </c>
      <c r="AA12" s="132" t="s">
        <v>2</v>
      </c>
      <c r="AC12" s="98" t="s">
        <v>0</v>
      </c>
      <c r="AD12" s="132" t="s">
        <v>1</v>
      </c>
      <c r="AE12" s="132" t="s">
        <v>2</v>
      </c>
      <c r="AF12" s="214"/>
      <c r="AG12" s="98" t="s">
        <v>0</v>
      </c>
      <c r="AH12" s="132" t="s">
        <v>1</v>
      </c>
      <c r="AI12" s="132" t="s">
        <v>2</v>
      </c>
      <c r="AJ12" s="147"/>
      <c r="AK12" s="128" t="s">
        <v>0</v>
      </c>
      <c r="AL12" s="130" t="s">
        <v>1</v>
      </c>
      <c r="AM12" s="130" t="s">
        <v>2</v>
      </c>
    </row>
    <row r="13" spans="1:39" hidden="1" x14ac:dyDescent="0.3">
      <c r="A13" s="112" t="s">
        <v>184</v>
      </c>
      <c r="B13" s="113">
        <v>0</v>
      </c>
      <c r="C13" s="106">
        <f t="shared" ref="C13" si="0">B13/12</f>
        <v>0</v>
      </c>
      <c r="D13" s="106"/>
      <c r="E13" s="112" t="s">
        <v>184</v>
      </c>
      <c r="F13" s="113">
        <v>0</v>
      </c>
      <c r="G13" s="106">
        <f t="shared" ref="G13:G17" si="1">F13/12</f>
        <v>0</v>
      </c>
      <c r="I13" s="112" t="s">
        <v>184</v>
      </c>
      <c r="J13" s="113">
        <v>0</v>
      </c>
      <c r="K13" s="106">
        <f t="shared" ref="K13:K17" si="2">J13/12</f>
        <v>0</v>
      </c>
      <c r="M13" s="112" t="s">
        <v>184</v>
      </c>
      <c r="N13" s="113">
        <v>0</v>
      </c>
      <c r="O13" s="106">
        <f t="shared" ref="O13:O17" si="3">N13/12</f>
        <v>0</v>
      </c>
      <c r="Q13" s="112" t="s">
        <v>184</v>
      </c>
      <c r="R13" s="113">
        <v>0</v>
      </c>
      <c r="S13" s="106">
        <f t="shared" ref="S13:S17" si="4">R13/12</f>
        <v>0</v>
      </c>
      <c r="U13" s="112" t="s">
        <v>184</v>
      </c>
      <c r="V13" s="113">
        <v>0</v>
      </c>
      <c r="W13" s="106">
        <f t="shared" ref="W13:W17" si="5">V13/12</f>
        <v>0</v>
      </c>
      <c r="Y13" s="112" t="s">
        <v>184</v>
      </c>
      <c r="Z13" s="113">
        <v>0</v>
      </c>
      <c r="AA13" s="106">
        <f t="shared" ref="AA13:AA17" si="6">Z13/12</f>
        <v>0</v>
      </c>
      <c r="AC13" s="112" t="s">
        <v>184</v>
      </c>
      <c r="AD13" s="113">
        <v>0</v>
      </c>
      <c r="AE13" s="106">
        <f t="shared" ref="AE13:AE17" si="7">AD13/12</f>
        <v>0</v>
      </c>
      <c r="AF13" s="106"/>
      <c r="AG13" s="112" t="s">
        <v>184</v>
      </c>
      <c r="AH13" s="106"/>
      <c r="AI13" s="106"/>
      <c r="AJ13" s="147"/>
      <c r="AK13" s="112" t="s">
        <v>184</v>
      </c>
      <c r="AL13" s="113">
        <f>B13+F13+J13+N13+R13+V13+Z13+AD13</f>
        <v>0</v>
      </c>
      <c r="AM13" s="113">
        <f>C13+G13+K13+O13+S13+W13+AA13+AE13</f>
        <v>0</v>
      </c>
    </row>
    <row r="14" spans="1:39" hidden="1" x14ac:dyDescent="0.3">
      <c r="A14" s="112" t="s">
        <v>185</v>
      </c>
      <c r="B14" s="113">
        <v>0</v>
      </c>
      <c r="C14" s="106">
        <f t="shared" ref="C14:C17" si="8">B14/12</f>
        <v>0</v>
      </c>
      <c r="D14" s="106"/>
      <c r="E14" s="112" t="s">
        <v>185</v>
      </c>
      <c r="F14" s="113">
        <v>0</v>
      </c>
      <c r="G14" s="106">
        <f t="shared" si="1"/>
        <v>0</v>
      </c>
      <c r="I14" s="112" t="s">
        <v>185</v>
      </c>
      <c r="J14" s="113">
        <v>0</v>
      </c>
      <c r="K14" s="106">
        <f t="shared" si="2"/>
        <v>0</v>
      </c>
      <c r="M14" s="112" t="s">
        <v>185</v>
      </c>
      <c r="N14" s="113">
        <v>0</v>
      </c>
      <c r="O14" s="106">
        <f t="shared" si="3"/>
        <v>0</v>
      </c>
      <c r="Q14" s="112" t="s">
        <v>185</v>
      </c>
      <c r="R14" s="113">
        <v>0</v>
      </c>
      <c r="S14" s="106">
        <f t="shared" si="4"/>
        <v>0</v>
      </c>
      <c r="U14" s="112" t="s">
        <v>185</v>
      </c>
      <c r="V14" s="113">
        <v>0</v>
      </c>
      <c r="W14" s="106">
        <f t="shared" si="5"/>
        <v>0</v>
      </c>
      <c r="Y14" s="112" t="s">
        <v>185</v>
      </c>
      <c r="Z14" s="113">
        <v>0</v>
      </c>
      <c r="AA14" s="106">
        <f t="shared" si="6"/>
        <v>0</v>
      </c>
      <c r="AC14" s="112" t="s">
        <v>185</v>
      </c>
      <c r="AD14" s="113">
        <v>0</v>
      </c>
      <c r="AE14" s="106">
        <f t="shared" si="7"/>
        <v>0</v>
      </c>
      <c r="AF14" s="106"/>
      <c r="AG14" s="112" t="s">
        <v>185</v>
      </c>
      <c r="AH14" s="106"/>
      <c r="AI14" s="106"/>
      <c r="AJ14" s="147"/>
      <c r="AK14" s="112" t="s">
        <v>185</v>
      </c>
      <c r="AL14" s="113">
        <f>B14+F14+J14+N14+R14+V14+Z14+AD14</f>
        <v>0</v>
      </c>
      <c r="AM14" s="113">
        <f>C14+G14+K14+O14+S14+W14+AA14+AE14</f>
        <v>0</v>
      </c>
    </row>
    <row r="15" spans="1:39" x14ac:dyDescent="0.3">
      <c r="A15" s="194" t="s">
        <v>186</v>
      </c>
      <c r="B15" s="143">
        <f>B69*B66*B70</f>
        <v>0</v>
      </c>
      <c r="C15" s="139">
        <f>B15/12</f>
        <v>0</v>
      </c>
      <c r="D15" s="106"/>
      <c r="E15" s="194" t="str">
        <f>+A15</f>
        <v>Sales to Internal Customers</v>
      </c>
      <c r="F15" s="143">
        <f>F69*F66*F70</f>
        <v>0</v>
      </c>
      <c r="G15" s="139">
        <f>F15/12</f>
        <v>0</v>
      </c>
      <c r="I15" s="194" t="s">
        <v>186</v>
      </c>
      <c r="J15" s="143">
        <f>J69*J66*J70</f>
        <v>0</v>
      </c>
      <c r="K15" s="139">
        <f t="shared" si="2"/>
        <v>0</v>
      </c>
      <c r="M15" s="194" t="s">
        <v>184</v>
      </c>
      <c r="N15" s="143">
        <f>N69*N66*N70</f>
        <v>0</v>
      </c>
      <c r="O15" s="139">
        <f t="shared" si="3"/>
        <v>0</v>
      </c>
      <c r="Q15" s="194" t="s">
        <v>184</v>
      </c>
      <c r="R15" s="143">
        <f>R69*R66*R70</f>
        <v>0</v>
      </c>
      <c r="S15" s="139">
        <f t="shared" si="4"/>
        <v>0</v>
      </c>
      <c r="U15" s="194" t="s">
        <v>184</v>
      </c>
      <c r="V15" s="143">
        <f>V69*V66*V70</f>
        <v>0</v>
      </c>
      <c r="W15" s="139">
        <f t="shared" si="5"/>
        <v>0</v>
      </c>
      <c r="Y15" s="194" t="s">
        <v>184</v>
      </c>
      <c r="Z15" s="143">
        <f>Z69*Z66*Z70</f>
        <v>0</v>
      </c>
      <c r="AA15" s="139">
        <f t="shared" si="6"/>
        <v>0</v>
      </c>
      <c r="AC15" s="194" t="s">
        <v>184</v>
      </c>
      <c r="AD15" s="143">
        <f>AD69*AD66*AD70</f>
        <v>0</v>
      </c>
      <c r="AE15" s="139">
        <f t="shared" si="7"/>
        <v>0</v>
      </c>
      <c r="AF15" s="106"/>
      <c r="AG15" s="194" t="s">
        <v>184</v>
      </c>
      <c r="AH15" s="143">
        <f>AH69*AH66*AH70</f>
        <v>0</v>
      </c>
      <c r="AI15" s="139">
        <f>+AH15/12</f>
        <v>0</v>
      </c>
      <c r="AJ15" s="147"/>
      <c r="AK15" s="257" t="s">
        <v>184</v>
      </c>
      <c r="AL15" s="250">
        <f>B15+F15+J15+N15+R15+V15+Z15+AD15+AH15</f>
        <v>0</v>
      </c>
      <c r="AM15" s="250">
        <f>C15+G15+K15+O15+S15+W15+AA15+AE15+AI15</f>
        <v>0</v>
      </c>
    </row>
    <row r="16" spans="1:39" x14ac:dyDescent="0.3">
      <c r="A16" s="194" t="s">
        <v>187</v>
      </c>
      <c r="B16" s="196">
        <v>0</v>
      </c>
      <c r="C16" s="197">
        <f t="shared" si="8"/>
        <v>0</v>
      </c>
      <c r="D16" s="106"/>
      <c r="E16" s="194" t="str">
        <f>+A16</f>
        <v>Other Revenues</v>
      </c>
      <c r="F16" s="196">
        <v>0</v>
      </c>
      <c r="G16" s="197">
        <f t="shared" si="1"/>
        <v>0</v>
      </c>
      <c r="I16" s="194" t="s">
        <v>187</v>
      </c>
      <c r="J16" s="196">
        <v>0</v>
      </c>
      <c r="K16" s="197">
        <f t="shared" si="2"/>
        <v>0</v>
      </c>
      <c r="M16" s="194" t="s">
        <v>187</v>
      </c>
      <c r="N16" s="196">
        <v>0</v>
      </c>
      <c r="O16" s="197">
        <f t="shared" si="3"/>
        <v>0</v>
      </c>
      <c r="Q16" s="194" t="s">
        <v>187</v>
      </c>
      <c r="R16" s="196">
        <v>0</v>
      </c>
      <c r="S16" s="197">
        <f t="shared" si="4"/>
        <v>0</v>
      </c>
      <c r="U16" s="194" t="s">
        <v>187</v>
      </c>
      <c r="V16" s="196">
        <v>0</v>
      </c>
      <c r="W16" s="197">
        <f t="shared" si="5"/>
        <v>0</v>
      </c>
      <c r="Y16" s="194" t="s">
        <v>187</v>
      </c>
      <c r="Z16" s="196">
        <v>0</v>
      </c>
      <c r="AA16" s="197">
        <f t="shared" si="6"/>
        <v>0</v>
      </c>
      <c r="AC16" s="194" t="s">
        <v>187</v>
      </c>
      <c r="AD16" s="196">
        <v>0</v>
      </c>
      <c r="AE16" s="197">
        <f t="shared" si="7"/>
        <v>0</v>
      </c>
      <c r="AF16" s="113"/>
      <c r="AG16" s="194" t="s">
        <v>187</v>
      </c>
      <c r="AH16" s="196"/>
      <c r="AI16" s="197">
        <f>+AH16/12</f>
        <v>0</v>
      </c>
      <c r="AJ16" s="147"/>
      <c r="AK16" s="257" t="s">
        <v>187</v>
      </c>
      <c r="AL16" s="251">
        <f>B16+F16+J16+N16+R16+V16+Z16+AD16+AH16</f>
        <v>0</v>
      </c>
      <c r="AM16" s="251">
        <f>C16+G16+K16+O16+S16+W16+AA16+AE16+AI16</f>
        <v>0</v>
      </c>
    </row>
    <row r="17" spans="1:40" ht="15" thickBot="1" x14ac:dyDescent="0.35">
      <c r="A17" s="195" t="s">
        <v>188</v>
      </c>
      <c r="B17" s="202">
        <f>SUM(B13:B16)</f>
        <v>0</v>
      </c>
      <c r="C17" s="202">
        <f t="shared" si="8"/>
        <v>0</v>
      </c>
      <c r="D17" s="101"/>
      <c r="E17" s="195" t="str">
        <f>+A17</f>
        <v>Total Revenues</v>
      </c>
      <c r="F17" s="202">
        <f>SUM(F13:F16)</f>
        <v>0</v>
      </c>
      <c r="G17" s="202">
        <f t="shared" si="1"/>
        <v>0</v>
      </c>
      <c r="I17" s="195" t="s">
        <v>188</v>
      </c>
      <c r="J17" s="202">
        <f>SUM(J13:J16)</f>
        <v>0</v>
      </c>
      <c r="K17" s="202">
        <f t="shared" si="2"/>
        <v>0</v>
      </c>
      <c r="M17" s="195" t="s">
        <v>188</v>
      </c>
      <c r="N17" s="202">
        <f>SUM(N13:N16)</f>
        <v>0</v>
      </c>
      <c r="O17" s="202">
        <f t="shared" si="3"/>
        <v>0</v>
      </c>
      <c r="Q17" s="195" t="s">
        <v>188</v>
      </c>
      <c r="R17" s="202">
        <f>SUM(R13:R16)</f>
        <v>0</v>
      </c>
      <c r="S17" s="202">
        <f t="shared" si="4"/>
        <v>0</v>
      </c>
      <c r="U17" s="195" t="s">
        <v>188</v>
      </c>
      <c r="V17" s="202">
        <f>SUM(V13:V16)</f>
        <v>0</v>
      </c>
      <c r="W17" s="202">
        <f t="shared" si="5"/>
        <v>0</v>
      </c>
      <c r="Y17" s="195" t="s">
        <v>188</v>
      </c>
      <c r="Z17" s="202">
        <f>SUM(Z13:Z16)</f>
        <v>0</v>
      </c>
      <c r="AA17" s="202">
        <f t="shared" si="6"/>
        <v>0</v>
      </c>
      <c r="AC17" s="195" t="s">
        <v>188</v>
      </c>
      <c r="AD17" s="202">
        <f>SUM(AD13:AD16)</f>
        <v>0</v>
      </c>
      <c r="AE17" s="202">
        <f t="shared" si="7"/>
        <v>0</v>
      </c>
      <c r="AF17" s="103"/>
      <c r="AG17" s="195" t="s">
        <v>188</v>
      </c>
      <c r="AH17" s="202">
        <f>SUM(AH15:AH16)</f>
        <v>0</v>
      </c>
      <c r="AI17" s="202">
        <f>SUM(AI15:AI16)</f>
        <v>0</v>
      </c>
      <c r="AJ17" s="147"/>
      <c r="AK17" s="258" t="s">
        <v>188</v>
      </c>
      <c r="AL17" s="259">
        <f>SUM(AL13:AL16)</f>
        <v>0</v>
      </c>
      <c r="AM17" s="259">
        <f t="shared" ref="AM17" si="9">AL17/12</f>
        <v>0</v>
      </c>
    </row>
    <row r="18" spans="1:40" ht="15" thickTop="1" x14ac:dyDescent="0.3">
      <c r="A18" s="116"/>
      <c r="B18" s="103"/>
      <c r="C18" s="103"/>
      <c r="D18" s="103"/>
      <c r="E18" s="102"/>
      <c r="F18" s="100"/>
      <c r="G18" s="100"/>
      <c r="I18" s="116"/>
      <c r="J18" s="103"/>
      <c r="K18" s="103"/>
      <c r="M18" s="116"/>
      <c r="N18" s="103"/>
      <c r="O18" s="103"/>
      <c r="Q18" s="116"/>
      <c r="R18" s="103"/>
      <c r="S18" s="103"/>
      <c r="U18" s="116"/>
      <c r="V18" s="103"/>
      <c r="W18" s="103"/>
      <c r="Y18" s="102"/>
      <c r="Z18" s="100"/>
      <c r="AA18" s="100"/>
      <c r="AC18" s="102"/>
      <c r="AD18" s="100"/>
      <c r="AE18" s="100"/>
      <c r="AF18" s="103"/>
      <c r="AG18" s="102"/>
      <c r="AH18" s="100"/>
      <c r="AI18" s="100"/>
      <c r="AJ18" s="147"/>
      <c r="AK18" s="102"/>
      <c r="AL18" s="100"/>
      <c r="AM18" s="100"/>
    </row>
    <row r="19" spans="1:40" x14ac:dyDescent="0.3">
      <c r="A19" s="117" t="s">
        <v>17</v>
      </c>
      <c r="B19" s="132" t="s">
        <v>1</v>
      </c>
      <c r="C19" s="132" t="s">
        <v>2</v>
      </c>
      <c r="D19" s="103"/>
      <c r="E19" s="104" t="s">
        <v>17</v>
      </c>
      <c r="F19" s="132" t="s">
        <v>1</v>
      </c>
      <c r="G19" s="132" t="s">
        <v>2</v>
      </c>
      <c r="I19" s="117" t="s">
        <v>17</v>
      </c>
      <c r="J19" s="132" t="s">
        <v>1</v>
      </c>
      <c r="K19" s="132" t="s">
        <v>2</v>
      </c>
      <c r="M19" s="117" t="s">
        <v>17</v>
      </c>
      <c r="N19" s="132" t="s">
        <v>1</v>
      </c>
      <c r="O19" s="132" t="s">
        <v>2</v>
      </c>
      <c r="Q19" s="117" t="s">
        <v>17</v>
      </c>
      <c r="R19" s="132" t="s">
        <v>1</v>
      </c>
      <c r="S19" s="132" t="s">
        <v>2</v>
      </c>
      <c r="U19" s="117" t="s">
        <v>17</v>
      </c>
      <c r="V19" s="132" t="s">
        <v>1</v>
      </c>
      <c r="W19" s="132" t="s">
        <v>2</v>
      </c>
      <c r="Y19" s="104" t="s">
        <v>17</v>
      </c>
      <c r="Z19" s="132" t="s">
        <v>1</v>
      </c>
      <c r="AA19" s="132" t="s">
        <v>2</v>
      </c>
      <c r="AC19" s="104" t="s">
        <v>17</v>
      </c>
      <c r="AD19" s="132" t="s">
        <v>1</v>
      </c>
      <c r="AE19" s="132" t="s">
        <v>2</v>
      </c>
      <c r="AF19" s="214"/>
      <c r="AG19" s="104" t="s">
        <v>17</v>
      </c>
      <c r="AH19" s="132" t="s">
        <v>1</v>
      </c>
      <c r="AI19" s="132" t="s">
        <v>2</v>
      </c>
      <c r="AJ19" s="147"/>
      <c r="AK19" s="129" t="s">
        <v>17</v>
      </c>
      <c r="AL19" s="131" t="s">
        <v>1</v>
      </c>
      <c r="AM19" s="131" t="s">
        <v>2</v>
      </c>
    </row>
    <row r="20" spans="1:40" x14ac:dyDescent="0.3">
      <c r="A20" s="200" t="s">
        <v>189</v>
      </c>
      <c r="B20" s="198">
        <v>0</v>
      </c>
      <c r="C20" s="199">
        <f t="shared" ref="C20:C57" si="10">B20/12</f>
        <v>0</v>
      </c>
      <c r="D20" s="101"/>
      <c r="E20" s="200" t="s">
        <v>189</v>
      </c>
      <c r="F20" s="198">
        <v>0</v>
      </c>
      <c r="G20" s="199">
        <f t="shared" ref="G20:G57" si="11">F20/12</f>
        <v>0</v>
      </c>
      <c r="I20" s="200" t="s">
        <v>189</v>
      </c>
      <c r="J20" s="198">
        <v>0</v>
      </c>
      <c r="K20" s="199">
        <f t="shared" ref="K20:K57" si="12">J20/12</f>
        <v>0</v>
      </c>
      <c r="M20" s="200" t="s">
        <v>189</v>
      </c>
      <c r="N20" s="198">
        <v>0</v>
      </c>
      <c r="O20" s="199">
        <f t="shared" ref="O20:O57" si="13">N20/12</f>
        <v>0</v>
      </c>
      <c r="Q20" s="200" t="s">
        <v>189</v>
      </c>
      <c r="R20" s="198">
        <v>0</v>
      </c>
      <c r="S20" s="199">
        <f t="shared" ref="S20:S57" si="14">R20/12</f>
        <v>0</v>
      </c>
      <c r="U20" s="200" t="s">
        <v>189</v>
      </c>
      <c r="V20" s="198">
        <v>0</v>
      </c>
      <c r="W20" s="199">
        <f t="shared" ref="W20:W50" si="15">V20/12</f>
        <v>0</v>
      </c>
      <c r="Y20" s="200" t="s">
        <v>189</v>
      </c>
      <c r="Z20" s="198">
        <v>0</v>
      </c>
      <c r="AA20" s="199">
        <f t="shared" ref="AA20:AA50" si="16">Z20/12</f>
        <v>0</v>
      </c>
      <c r="AC20" s="200" t="s">
        <v>189</v>
      </c>
      <c r="AD20" s="198">
        <v>0</v>
      </c>
      <c r="AE20" s="199">
        <f t="shared" ref="AE20:AE50" si="17">AD20/12</f>
        <v>0</v>
      </c>
      <c r="AF20" s="103"/>
      <c r="AG20" s="200" t="s">
        <v>189</v>
      </c>
      <c r="AH20" s="215">
        <v>0</v>
      </c>
      <c r="AI20" s="215">
        <f>+AH20/12</f>
        <v>0</v>
      </c>
      <c r="AJ20" s="147"/>
      <c r="AK20" s="254" t="s">
        <v>189</v>
      </c>
      <c r="AL20" s="255">
        <f t="shared" ref="AL20:AM22" si="18">B20+F20+J20+N20+R20+V20+Z20+AD20+AH20</f>
        <v>0</v>
      </c>
      <c r="AM20" s="255">
        <f t="shared" si="18"/>
        <v>0</v>
      </c>
    </row>
    <row r="21" spans="1:40" x14ac:dyDescent="0.3">
      <c r="A21" s="144" t="s">
        <v>222</v>
      </c>
      <c r="B21" s="140">
        <f>SUM(B22:B33)</f>
        <v>0</v>
      </c>
      <c r="C21" s="140">
        <f t="shared" si="10"/>
        <v>0</v>
      </c>
      <c r="D21" s="101"/>
      <c r="E21" s="144" t="s">
        <v>222</v>
      </c>
      <c r="F21" s="140">
        <f>SUM(F22:F33)</f>
        <v>0</v>
      </c>
      <c r="G21" s="140">
        <f>F21/12</f>
        <v>0</v>
      </c>
      <c r="I21" s="144" t="s">
        <v>222</v>
      </c>
      <c r="J21" s="140">
        <f>SUM(J22:J33)</f>
        <v>0</v>
      </c>
      <c r="K21" s="140">
        <f t="shared" si="12"/>
        <v>0</v>
      </c>
      <c r="M21" s="144" t="s">
        <v>222</v>
      </c>
      <c r="N21" s="140">
        <f>SUM(N22:N33)</f>
        <v>0</v>
      </c>
      <c r="O21" s="140">
        <f t="shared" si="13"/>
        <v>0</v>
      </c>
      <c r="Q21" s="144" t="s">
        <v>222</v>
      </c>
      <c r="R21" s="140">
        <f>SUM(R22:R33)</f>
        <v>0</v>
      </c>
      <c r="S21" s="140">
        <f t="shared" si="14"/>
        <v>0</v>
      </c>
      <c r="U21" s="144" t="s">
        <v>222</v>
      </c>
      <c r="V21" s="140">
        <f>SUM(V22:V33)</f>
        <v>0</v>
      </c>
      <c r="W21" s="140">
        <f t="shared" si="15"/>
        <v>0</v>
      </c>
      <c r="Y21" s="144" t="s">
        <v>222</v>
      </c>
      <c r="Z21" s="140">
        <f>SUM(Z22:Z33)</f>
        <v>0</v>
      </c>
      <c r="AA21" s="140">
        <f t="shared" si="16"/>
        <v>0</v>
      </c>
      <c r="AC21" s="144" t="s">
        <v>222</v>
      </c>
      <c r="AD21" s="140">
        <f>SUM(AD22:AD33)</f>
        <v>0</v>
      </c>
      <c r="AE21" s="140">
        <f t="shared" si="17"/>
        <v>0</v>
      </c>
      <c r="AF21" s="101"/>
      <c r="AG21" s="144" t="s">
        <v>222</v>
      </c>
      <c r="AH21" s="140">
        <f>SUM(AH22:AH33)</f>
        <v>0</v>
      </c>
      <c r="AI21" s="140">
        <f>+AH21/12</f>
        <v>0</v>
      </c>
      <c r="AJ21" s="147"/>
      <c r="AK21" s="256" t="s">
        <v>222</v>
      </c>
      <c r="AL21" s="248">
        <f>B21+F21+J21+N21+R21+V21+Z21+AD21+AH21</f>
        <v>0</v>
      </c>
      <c r="AM21" s="248">
        <f t="shared" si="18"/>
        <v>0</v>
      </c>
    </row>
    <row r="22" spans="1:40" x14ac:dyDescent="0.3">
      <c r="A22" s="138" t="str">
        <f ca="1">+$A22</f>
        <v>Admin Pro</v>
      </c>
      <c r="B22" s="139">
        <f>C22*12</f>
        <v>0</v>
      </c>
      <c r="C22" s="139">
        <f>+Labor!F15*'FY26 22 Billing Rate Calc'!$B$66</f>
        <v>0</v>
      </c>
      <c r="D22" s="106"/>
      <c r="E22" s="138" t="str">
        <f ca="1">+$A22</f>
        <v>Admin Pro</v>
      </c>
      <c r="F22" s="139">
        <f>G22*12</f>
        <v>0</v>
      </c>
      <c r="G22" s="139">
        <f>+Labor!G15*'FY26 22 Billing Rate Calc'!$F$66</f>
        <v>0</v>
      </c>
      <c r="I22" s="138" t="str">
        <f ca="1">+$A22</f>
        <v>Admin Pro</v>
      </c>
      <c r="J22" s="139">
        <f>K22*12</f>
        <v>0</v>
      </c>
      <c r="K22" s="139">
        <f>+Labor!H15*'FY26 22 Billing Rate Calc'!$J$66</f>
        <v>0</v>
      </c>
      <c r="M22" s="138" t="str">
        <f ca="1">+$A22</f>
        <v>Admin Pro</v>
      </c>
      <c r="N22" s="139">
        <f>O22*12</f>
        <v>0</v>
      </c>
      <c r="O22" s="139">
        <f>+Labor!I15*'FY26 22 Billing Rate Calc'!$N$66</f>
        <v>0</v>
      </c>
      <c r="Q22" s="138" t="str">
        <f ca="1">+$A22</f>
        <v>Admin Pro</v>
      </c>
      <c r="R22" s="139">
        <f>S22*12</f>
        <v>0</v>
      </c>
      <c r="S22" s="139">
        <f>+Labor!J15*'FY26 22 Billing Rate Calc'!$R$66</f>
        <v>0</v>
      </c>
      <c r="U22" s="138" t="str">
        <f ca="1">+$A22</f>
        <v>Admin Pro</v>
      </c>
      <c r="V22" s="139">
        <f>W22*12</f>
        <v>0</v>
      </c>
      <c r="W22" s="139">
        <f>+Labor!K15*'FY26 22 Billing Rate Calc'!$V$66</f>
        <v>0</v>
      </c>
      <c r="Y22" s="138" t="str">
        <f ca="1">+$A22</f>
        <v>Admin Pro</v>
      </c>
      <c r="Z22" s="139">
        <f t="shared" ref="Z22:Z30" si="19">+AA22*12</f>
        <v>0</v>
      </c>
      <c r="AA22" s="139">
        <f>+Labor!L15*'FY26 22 Billing Rate Calc'!$Z$66</f>
        <v>0</v>
      </c>
      <c r="AC22" s="138" t="str">
        <f ca="1">+$A22</f>
        <v>Admin Pro</v>
      </c>
      <c r="AD22" s="139">
        <f>+AE22*12</f>
        <v>0</v>
      </c>
      <c r="AE22" s="139">
        <f>+Labor!M15*'FY26 22 Billing Rate Calc'!$AD$66</f>
        <v>0</v>
      </c>
      <c r="AF22" s="106"/>
      <c r="AG22" s="138" t="str">
        <f ca="1">+$A22</f>
        <v>Admin Pro</v>
      </c>
      <c r="AH22" s="139">
        <f>+AI22*12</f>
        <v>0</v>
      </c>
      <c r="AI22" s="139">
        <f>+Labor!N15*'FY26 22 Billing Rate Calc'!$AH$66</f>
        <v>0</v>
      </c>
      <c r="AJ22" s="147"/>
      <c r="AK22" s="249" t="str">
        <f ca="1">+$A22</f>
        <v>Admin Pro</v>
      </c>
      <c r="AL22" s="250">
        <f t="shared" si="18"/>
        <v>0</v>
      </c>
      <c r="AM22" s="250">
        <f t="shared" si="18"/>
        <v>0</v>
      </c>
      <c r="AN22" s="133"/>
    </row>
    <row r="23" spans="1:40" x14ac:dyDescent="0.3">
      <c r="A23" s="138" t="str">
        <f t="shared" ref="A23:A34" ca="1" si="20">+$A23</f>
        <v xml:space="preserve">Admin Pro Fringe </v>
      </c>
      <c r="B23" s="139">
        <f>C23*12</f>
        <v>0</v>
      </c>
      <c r="C23" s="137">
        <f>+C22*'FY26 Fringe Rates'!$D$5</f>
        <v>0</v>
      </c>
      <c r="D23" s="106"/>
      <c r="E23" s="138" t="str">
        <f t="shared" ref="E23:E34" ca="1" si="21">+$A23</f>
        <v xml:space="preserve">Admin Pro Fringe </v>
      </c>
      <c r="F23" s="139">
        <f>G23*12</f>
        <v>0</v>
      </c>
      <c r="G23" s="137">
        <f>+G22*'FY26 Fringe Rates'!$D$5</f>
        <v>0</v>
      </c>
      <c r="I23" s="138" t="str">
        <f t="shared" ref="I23:I34" ca="1" si="22">+$A23</f>
        <v xml:space="preserve">Admin Pro Fringe </v>
      </c>
      <c r="J23" s="139">
        <f>K23*12</f>
        <v>0</v>
      </c>
      <c r="K23" s="137">
        <f>+K22*'FY26 Fringe Rates'!$D$5</f>
        <v>0</v>
      </c>
      <c r="M23" s="138" t="str">
        <f t="shared" ref="M23:M34" ca="1" si="23">+$A23</f>
        <v xml:space="preserve">Admin Pro Fringe </v>
      </c>
      <c r="N23" s="139">
        <f t="shared" ref="N23:N29" si="24">+O23*12</f>
        <v>0</v>
      </c>
      <c r="O23" s="137">
        <f>+O22*'FY26 Fringe Rates'!$D$5</f>
        <v>0</v>
      </c>
      <c r="Q23" s="138" t="str">
        <f t="shared" ref="Q23:Q34" ca="1" si="25">+$A23</f>
        <v xml:space="preserve">Admin Pro Fringe </v>
      </c>
      <c r="R23" s="139">
        <f t="shared" ref="R23:R30" si="26">+S23*12</f>
        <v>0</v>
      </c>
      <c r="S23" s="137">
        <f>+S22*'FY26 Fringe Rates'!$D$5</f>
        <v>0</v>
      </c>
      <c r="U23" s="138" t="str">
        <f t="shared" ref="U23:U34" ca="1" si="27">+$A23</f>
        <v xml:space="preserve">Admin Pro Fringe </v>
      </c>
      <c r="V23" s="139">
        <f t="shared" ref="V23:V30" si="28">+W23*12</f>
        <v>0</v>
      </c>
      <c r="W23" s="137">
        <f>+W22*'FY26 Fringe Rates'!$D$5</f>
        <v>0</v>
      </c>
      <c r="Y23" s="138" t="str">
        <f t="shared" ref="Y23:Y34" ca="1" si="29">+$A23</f>
        <v xml:space="preserve">Admin Pro Fringe </v>
      </c>
      <c r="Z23" s="139">
        <f t="shared" si="19"/>
        <v>0</v>
      </c>
      <c r="AA23" s="137">
        <f>+AA22*'FY26 Fringe Rates'!$D$5</f>
        <v>0</v>
      </c>
      <c r="AC23" s="138" t="str">
        <f t="shared" ref="AC23:AC34" ca="1" si="30">+$A23</f>
        <v xml:space="preserve">Admin Pro Fringe </v>
      </c>
      <c r="AD23" s="139">
        <f t="shared" ref="AD23:AD32" si="31">+AE23*12</f>
        <v>0</v>
      </c>
      <c r="AE23" s="137">
        <f>+AE22*'FY26 Fringe Rates'!$D$5</f>
        <v>0</v>
      </c>
      <c r="AF23" s="106"/>
      <c r="AG23" s="138" t="str">
        <f t="shared" ref="AG23:AG34" ca="1" si="32">+$A23</f>
        <v xml:space="preserve">Admin Pro Fringe </v>
      </c>
      <c r="AH23" s="139">
        <f>+AI23*12</f>
        <v>0</v>
      </c>
      <c r="AI23" s="137">
        <f>+AI22*'FY26 Fringe Rates'!$D$5</f>
        <v>0</v>
      </c>
      <c r="AJ23" s="147"/>
      <c r="AK23" s="249" t="str">
        <f t="shared" ref="AK23:AK34" ca="1" si="33">+$A23</f>
        <v xml:space="preserve">Admin Pro Fringe </v>
      </c>
      <c r="AL23" s="250">
        <f t="shared" ref="AL23:AL32" si="34">B23+F23+J23+N23+R23+V23+Z23+AD23+AH23</f>
        <v>0</v>
      </c>
      <c r="AM23" s="250">
        <f t="shared" ref="AM23:AM33" si="35">C23+G23+K23+O23+S23+W23+AA23+AE23+AI23</f>
        <v>0</v>
      </c>
      <c r="AN23" s="133"/>
    </row>
    <row r="24" spans="1:40" x14ac:dyDescent="0.3">
      <c r="A24" s="138" t="str">
        <f t="shared" ca="1" si="20"/>
        <v>Academic Faculty</v>
      </c>
      <c r="B24" s="139">
        <f>+C24*12</f>
        <v>0</v>
      </c>
      <c r="C24" s="139">
        <f>+Labor!F10*'FY26 22 Billing Rate Calc'!$B$66</f>
        <v>0</v>
      </c>
      <c r="D24" s="106"/>
      <c r="E24" s="138" t="str">
        <f t="shared" ca="1" si="21"/>
        <v>Academic Faculty</v>
      </c>
      <c r="F24" s="139">
        <f t="shared" ref="F24:F29" si="36">+G24*12</f>
        <v>0</v>
      </c>
      <c r="G24" s="139">
        <f>+Labor!G10*'FY26 22 Billing Rate Calc'!$F$66</f>
        <v>0</v>
      </c>
      <c r="I24" s="138" t="str">
        <f t="shared" ca="1" si="22"/>
        <v>Academic Faculty</v>
      </c>
      <c r="J24" s="139">
        <f t="shared" ref="J24:J29" si="37">+K24*12</f>
        <v>0</v>
      </c>
      <c r="K24" s="139">
        <f>+Labor!H10*'FY26 22 Billing Rate Calc'!$J$66</f>
        <v>0</v>
      </c>
      <c r="M24" s="138" t="str">
        <f t="shared" ca="1" si="23"/>
        <v>Academic Faculty</v>
      </c>
      <c r="N24" s="139">
        <f t="shared" si="24"/>
        <v>0</v>
      </c>
      <c r="O24" s="139">
        <f>+Labor!I10*'FY26 22 Billing Rate Calc'!$N$66</f>
        <v>0</v>
      </c>
      <c r="Q24" s="138" t="str">
        <f t="shared" ca="1" si="25"/>
        <v>Academic Faculty</v>
      </c>
      <c r="R24" s="139">
        <f t="shared" si="26"/>
        <v>0</v>
      </c>
      <c r="S24" s="139">
        <f>+Labor!J10*'FY26 22 Billing Rate Calc'!$R$66</f>
        <v>0</v>
      </c>
      <c r="U24" s="138" t="str">
        <f t="shared" ca="1" si="27"/>
        <v>Academic Faculty</v>
      </c>
      <c r="V24" s="139">
        <f t="shared" si="28"/>
        <v>0</v>
      </c>
      <c r="W24" s="139">
        <f>+Labor!K10*'FY26 22 Billing Rate Calc'!$V$66</f>
        <v>0</v>
      </c>
      <c r="Y24" s="138" t="str">
        <f t="shared" ca="1" si="29"/>
        <v>Academic Faculty</v>
      </c>
      <c r="Z24" s="139">
        <f t="shared" si="19"/>
        <v>0</v>
      </c>
      <c r="AA24" s="139">
        <f>+Labor!L10*'FY26 22 Billing Rate Calc'!$Z$66</f>
        <v>0</v>
      </c>
      <c r="AC24" s="138" t="str">
        <f t="shared" ca="1" si="30"/>
        <v>Academic Faculty</v>
      </c>
      <c r="AD24" s="139">
        <f t="shared" si="31"/>
        <v>0</v>
      </c>
      <c r="AE24" s="139">
        <f>+Labor!M10*'FY26 22 Billing Rate Calc'!$AD$66</f>
        <v>0</v>
      </c>
      <c r="AF24" s="106"/>
      <c r="AG24" s="138" t="str">
        <f t="shared" ca="1" si="32"/>
        <v>Academic Faculty</v>
      </c>
      <c r="AH24" s="139">
        <f>+AI24*12</f>
        <v>0</v>
      </c>
      <c r="AI24" s="139">
        <f>+Labor!N10*'FY26 22 Billing Rate Calc'!$AH$66</f>
        <v>0</v>
      </c>
      <c r="AJ24" s="147"/>
      <c r="AK24" s="249" t="str">
        <f t="shared" ca="1" si="33"/>
        <v>Academic Faculty</v>
      </c>
      <c r="AL24" s="250">
        <f t="shared" si="34"/>
        <v>0</v>
      </c>
      <c r="AM24" s="250">
        <f t="shared" si="35"/>
        <v>0</v>
      </c>
      <c r="AN24" s="133"/>
    </row>
    <row r="25" spans="1:40" x14ac:dyDescent="0.3">
      <c r="A25" s="138" t="str">
        <f t="shared" ca="1" si="20"/>
        <v>Academic Faculty Fringe</v>
      </c>
      <c r="B25" s="139">
        <f t="shared" ref="B25:B29" si="38">+C25*12</f>
        <v>0</v>
      </c>
      <c r="C25" s="137">
        <f>+C24*'FY26 Fringe Rates'!$D$3</f>
        <v>0</v>
      </c>
      <c r="D25" s="106"/>
      <c r="E25" s="138" t="str">
        <f t="shared" ca="1" si="21"/>
        <v>Academic Faculty Fringe</v>
      </c>
      <c r="F25" s="139">
        <f t="shared" si="36"/>
        <v>0</v>
      </c>
      <c r="G25" s="137">
        <f>+G24*'FY26 Fringe Rates'!$D$3</f>
        <v>0</v>
      </c>
      <c r="I25" s="138" t="str">
        <f t="shared" ca="1" si="22"/>
        <v>Academic Faculty Fringe</v>
      </c>
      <c r="J25" s="139">
        <f t="shared" si="37"/>
        <v>0</v>
      </c>
      <c r="K25" s="137">
        <f>+K24*'FY26 Fringe Rates'!$D$3</f>
        <v>0</v>
      </c>
      <c r="M25" s="138" t="str">
        <f t="shared" ca="1" si="23"/>
        <v>Academic Faculty Fringe</v>
      </c>
      <c r="N25" s="139">
        <f t="shared" si="24"/>
        <v>0</v>
      </c>
      <c r="O25" s="137">
        <f>+O24*'FY26 Fringe Rates'!$D$3</f>
        <v>0</v>
      </c>
      <c r="Q25" s="138" t="str">
        <f t="shared" ca="1" si="25"/>
        <v>Academic Faculty Fringe</v>
      </c>
      <c r="R25" s="139">
        <f t="shared" si="26"/>
        <v>0</v>
      </c>
      <c r="S25" s="137">
        <f>+S24*'FY26 Fringe Rates'!$D$3</f>
        <v>0</v>
      </c>
      <c r="U25" s="138" t="str">
        <f t="shared" ca="1" si="27"/>
        <v>Academic Faculty Fringe</v>
      </c>
      <c r="V25" s="139">
        <f t="shared" si="28"/>
        <v>0</v>
      </c>
      <c r="W25" s="137">
        <f>+W24*'FY26 Fringe Rates'!$D$3</f>
        <v>0</v>
      </c>
      <c r="Y25" s="138" t="str">
        <f t="shared" ca="1" si="29"/>
        <v>Academic Faculty Fringe</v>
      </c>
      <c r="Z25" s="139">
        <f t="shared" si="19"/>
        <v>0</v>
      </c>
      <c r="AA25" s="137">
        <f>+AA24*'FY26 Fringe Rates'!$D$3</f>
        <v>0</v>
      </c>
      <c r="AC25" s="138" t="str">
        <f t="shared" ca="1" si="30"/>
        <v>Academic Faculty Fringe</v>
      </c>
      <c r="AD25" s="139">
        <f t="shared" si="31"/>
        <v>0</v>
      </c>
      <c r="AE25" s="137">
        <f>+AE24*'FY26 Fringe Rates'!$D$3</f>
        <v>0</v>
      </c>
      <c r="AF25" s="106"/>
      <c r="AG25" s="138" t="str">
        <f t="shared" ca="1" si="32"/>
        <v>Academic Faculty Fringe</v>
      </c>
      <c r="AH25" s="139">
        <f>+AI25*12</f>
        <v>0</v>
      </c>
      <c r="AI25" s="137">
        <f>+AI24*'FY26 Fringe Rates'!$D$3</f>
        <v>0</v>
      </c>
      <c r="AJ25" s="147"/>
      <c r="AK25" s="249" t="str">
        <f t="shared" ca="1" si="33"/>
        <v>Academic Faculty Fringe</v>
      </c>
      <c r="AL25" s="250">
        <f t="shared" si="34"/>
        <v>0</v>
      </c>
      <c r="AM25" s="250">
        <f t="shared" si="35"/>
        <v>0</v>
      </c>
      <c r="AN25" s="133"/>
    </row>
    <row r="26" spans="1:40" x14ac:dyDescent="0.3">
      <c r="A26" s="138" t="str">
        <f t="shared" ca="1" si="20"/>
        <v>Grad Asst &amp; Pre-Doc Fellows</v>
      </c>
      <c r="B26" s="139">
        <f t="shared" si="38"/>
        <v>0</v>
      </c>
      <c r="C26" s="139">
        <f>+Labor!F20*'FY26 22 Billing Rate Calc'!$B$66</f>
        <v>0</v>
      </c>
      <c r="D26" s="106"/>
      <c r="E26" s="138" t="str">
        <f t="shared" ca="1" si="21"/>
        <v>Grad Asst &amp; Pre-Doc Fellows</v>
      </c>
      <c r="F26" s="139">
        <f t="shared" si="36"/>
        <v>0</v>
      </c>
      <c r="G26" s="139">
        <f>+Labor!G20*'FY26 22 Billing Rate Calc'!$F$66</f>
        <v>0</v>
      </c>
      <c r="I26" s="138" t="str">
        <f t="shared" ca="1" si="22"/>
        <v>Grad Asst &amp; Pre-Doc Fellows</v>
      </c>
      <c r="J26" s="139">
        <f t="shared" si="37"/>
        <v>0</v>
      </c>
      <c r="K26" s="139">
        <f>+Labor!H20*'FY26 22 Billing Rate Calc'!$J$66</f>
        <v>0</v>
      </c>
      <c r="M26" s="138" t="str">
        <f t="shared" ca="1" si="23"/>
        <v>Grad Asst &amp; Pre-Doc Fellows</v>
      </c>
      <c r="N26" s="139">
        <f t="shared" si="24"/>
        <v>0</v>
      </c>
      <c r="O26" s="139">
        <f>+Labor!I20*'FY26 22 Billing Rate Calc'!$N$66</f>
        <v>0</v>
      </c>
      <c r="Q26" s="138" t="str">
        <f t="shared" ca="1" si="25"/>
        <v>Grad Asst &amp; Pre-Doc Fellows</v>
      </c>
      <c r="R26" s="139">
        <f t="shared" si="26"/>
        <v>0</v>
      </c>
      <c r="S26" s="139">
        <f>+Labor!J20*'FY26 22 Billing Rate Calc'!$R$66</f>
        <v>0</v>
      </c>
      <c r="U26" s="138" t="str">
        <f t="shared" ca="1" si="27"/>
        <v>Grad Asst &amp; Pre-Doc Fellows</v>
      </c>
      <c r="V26" s="139">
        <f t="shared" si="28"/>
        <v>0</v>
      </c>
      <c r="W26" s="139">
        <f>+Labor!K20*'FY26 22 Billing Rate Calc'!$V$66</f>
        <v>0</v>
      </c>
      <c r="Y26" s="138" t="str">
        <f t="shared" ca="1" si="29"/>
        <v>Grad Asst &amp; Pre-Doc Fellows</v>
      </c>
      <c r="Z26" s="139">
        <f t="shared" si="19"/>
        <v>0</v>
      </c>
      <c r="AA26" s="139">
        <f>+Labor!L20*'FY26 22 Billing Rate Calc'!$Z$66</f>
        <v>0</v>
      </c>
      <c r="AC26" s="138" t="str">
        <f t="shared" ca="1" si="30"/>
        <v>Grad Asst &amp; Pre-Doc Fellows</v>
      </c>
      <c r="AD26" s="139">
        <f t="shared" si="31"/>
        <v>0</v>
      </c>
      <c r="AE26" s="139">
        <f>+Labor!M20*'FY26 22 Billing Rate Calc'!$AD$66</f>
        <v>0</v>
      </c>
      <c r="AF26" s="106"/>
      <c r="AG26" s="138" t="str">
        <f t="shared" ca="1" si="32"/>
        <v>Grad Asst &amp; Pre-Doc Fellows</v>
      </c>
      <c r="AH26" s="139">
        <f>+AI26*12</f>
        <v>0</v>
      </c>
      <c r="AI26" s="139">
        <f>+Labor!N20*'FY26 22 Billing Rate Calc'!AH66</f>
        <v>0</v>
      </c>
      <c r="AJ26" s="147"/>
      <c r="AK26" s="249" t="str">
        <f t="shared" ca="1" si="33"/>
        <v>Grad Asst &amp; Pre-Doc Fellows</v>
      </c>
      <c r="AL26" s="250">
        <f t="shared" si="34"/>
        <v>0</v>
      </c>
      <c r="AM26" s="250">
        <f t="shared" si="35"/>
        <v>0</v>
      </c>
      <c r="AN26" s="133"/>
    </row>
    <row r="27" spans="1:40" x14ac:dyDescent="0.3">
      <c r="A27" s="138" t="str">
        <f t="shared" ca="1" si="20"/>
        <v>GA &amp; PDF Fringe</v>
      </c>
      <c r="B27" s="139">
        <f>+C27*12</f>
        <v>0</v>
      </c>
      <c r="C27" s="137">
        <f>+C26*'FY26 Fringe Rates'!$D$13</f>
        <v>0</v>
      </c>
      <c r="D27" s="106"/>
      <c r="E27" s="138" t="str">
        <f t="shared" ca="1" si="21"/>
        <v>GA &amp; PDF Fringe</v>
      </c>
      <c r="F27" s="139">
        <f t="shared" si="36"/>
        <v>0</v>
      </c>
      <c r="G27" s="137">
        <f>+G26*'FY26 Fringe Rates'!$D$13</f>
        <v>0</v>
      </c>
      <c r="I27" s="138" t="str">
        <f t="shared" ca="1" si="22"/>
        <v>GA &amp; PDF Fringe</v>
      </c>
      <c r="J27" s="139">
        <f t="shared" si="37"/>
        <v>0</v>
      </c>
      <c r="K27" s="137">
        <f>+K26*'FY26 Fringe Rates'!$D$13</f>
        <v>0</v>
      </c>
      <c r="M27" s="138" t="str">
        <f t="shared" ca="1" si="23"/>
        <v>GA &amp; PDF Fringe</v>
      </c>
      <c r="N27" s="139">
        <f t="shared" si="24"/>
        <v>0</v>
      </c>
      <c r="O27" s="137">
        <f>+O26*'FY26 Fringe Rates'!$D$13</f>
        <v>0</v>
      </c>
      <c r="Q27" s="138" t="str">
        <f t="shared" ca="1" si="25"/>
        <v>GA &amp; PDF Fringe</v>
      </c>
      <c r="R27" s="139">
        <f t="shared" si="26"/>
        <v>0</v>
      </c>
      <c r="S27" s="137">
        <f>+S26*'FY26 Fringe Rates'!$D$13</f>
        <v>0</v>
      </c>
      <c r="U27" s="138" t="str">
        <f t="shared" ca="1" si="27"/>
        <v>GA &amp; PDF Fringe</v>
      </c>
      <c r="V27" s="139">
        <f t="shared" si="28"/>
        <v>0</v>
      </c>
      <c r="W27" s="137">
        <f>+W26*'FY26 Fringe Rates'!$D$13</f>
        <v>0</v>
      </c>
      <c r="Y27" s="138" t="str">
        <f t="shared" ca="1" si="29"/>
        <v>GA &amp; PDF Fringe</v>
      </c>
      <c r="Z27" s="139">
        <f t="shared" si="19"/>
        <v>0</v>
      </c>
      <c r="AA27" s="137">
        <f>+AA26*'FY26 Fringe Rates'!$D$13</f>
        <v>0</v>
      </c>
      <c r="AC27" s="138" t="str">
        <f t="shared" ca="1" si="30"/>
        <v>GA &amp; PDF Fringe</v>
      </c>
      <c r="AD27" s="139">
        <f t="shared" si="31"/>
        <v>0</v>
      </c>
      <c r="AE27" s="137">
        <f>+AE26*'FY26 Fringe Rates'!$D$13</f>
        <v>0</v>
      </c>
      <c r="AF27" s="106"/>
      <c r="AG27" s="138" t="str">
        <f t="shared" ca="1" si="32"/>
        <v>GA &amp; PDF Fringe</v>
      </c>
      <c r="AH27" s="139">
        <f t="shared" ref="AH27:AH33" si="39">+AI27*12</f>
        <v>0</v>
      </c>
      <c r="AI27" s="137">
        <f>+AI26*'FY26 Fringe Rates'!$D$13</f>
        <v>0</v>
      </c>
      <c r="AJ27" s="147"/>
      <c r="AK27" s="249" t="str">
        <f t="shared" ca="1" si="33"/>
        <v>GA &amp; PDF Fringe</v>
      </c>
      <c r="AL27" s="250">
        <f t="shared" si="34"/>
        <v>0</v>
      </c>
      <c r="AM27" s="250">
        <f t="shared" si="35"/>
        <v>0</v>
      </c>
      <c r="AN27" s="133"/>
    </row>
    <row r="28" spans="1:40" x14ac:dyDescent="0.3">
      <c r="A28" s="138" t="str">
        <f t="shared" ca="1" si="20"/>
        <v>State Classified</v>
      </c>
      <c r="B28" s="139">
        <f t="shared" si="38"/>
        <v>0</v>
      </c>
      <c r="C28" s="139">
        <f>+Labor!F30*'FY26 22 Billing Rate Calc'!$B$66</f>
        <v>0</v>
      </c>
      <c r="D28" s="106"/>
      <c r="E28" s="138" t="str">
        <f t="shared" ca="1" si="21"/>
        <v>State Classified</v>
      </c>
      <c r="F28" s="139">
        <f t="shared" si="36"/>
        <v>0</v>
      </c>
      <c r="G28" s="139">
        <f>+Labor!G30*'FY26 22 Billing Rate Calc'!$F$66</f>
        <v>0</v>
      </c>
      <c r="I28" s="138" t="str">
        <f t="shared" ca="1" si="22"/>
        <v>State Classified</v>
      </c>
      <c r="J28" s="139">
        <f t="shared" si="37"/>
        <v>0</v>
      </c>
      <c r="K28" s="139">
        <f>+Labor!H30*'FY26 22 Billing Rate Calc'!$J$66</f>
        <v>0</v>
      </c>
      <c r="M28" s="138" t="str">
        <f t="shared" ca="1" si="23"/>
        <v>State Classified</v>
      </c>
      <c r="N28" s="139">
        <f t="shared" si="24"/>
        <v>0</v>
      </c>
      <c r="O28" s="139">
        <f>+Labor!I30*'FY26 22 Billing Rate Calc'!$N$66</f>
        <v>0</v>
      </c>
      <c r="Q28" s="138" t="str">
        <f t="shared" ca="1" si="25"/>
        <v>State Classified</v>
      </c>
      <c r="R28" s="139">
        <f t="shared" si="26"/>
        <v>0</v>
      </c>
      <c r="S28" s="139">
        <f>+Labor!J30*'FY26 22 Billing Rate Calc'!$R$66</f>
        <v>0</v>
      </c>
      <c r="U28" s="138" t="str">
        <f t="shared" ca="1" si="27"/>
        <v>State Classified</v>
      </c>
      <c r="V28" s="139">
        <f t="shared" si="28"/>
        <v>0</v>
      </c>
      <c r="W28" s="139">
        <f>+Labor!K30*'FY26 22 Billing Rate Calc'!$V$66</f>
        <v>0</v>
      </c>
      <c r="Y28" s="138" t="str">
        <f t="shared" ca="1" si="29"/>
        <v>State Classified</v>
      </c>
      <c r="Z28" s="139">
        <f t="shared" si="19"/>
        <v>0</v>
      </c>
      <c r="AA28" s="139">
        <f>+Labor!L30*'FY26 22 Billing Rate Calc'!$Z$66</f>
        <v>0</v>
      </c>
      <c r="AC28" s="138" t="str">
        <f t="shared" ca="1" si="30"/>
        <v>State Classified</v>
      </c>
      <c r="AD28" s="139">
        <f t="shared" si="31"/>
        <v>0</v>
      </c>
      <c r="AE28" s="139">
        <f>+Labor!M30*'FY26 22 Billing Rate Calc'!$AD$66</f>
        <v>0</v>
      </c>
      <c r="AF28" s="106"/>
      <c r="AG28" s="138" t="str">
        <f t="shared" ca="1" si="32"/>
        <v>State Classified</v>
      </c>
      <c r="AH28" s="139">
        <f t="shared" si="39"/>
        <v>0</v>
      </c>
      <c r="AI28" s="139">
        <f>+Labor!N30*'FY26 22 Billing Rate Calc'!AH66</f>
        <v>0</v>
      </c>
      <c r="AJ28" s="147"/>
      <c r="AK28" s="249" t="str">
        <f t="shared" ca="1" si="33"/>
        <v>State Classified</v>
      </c>
      <c r="AL28" s="250">
        <f t="shared" si="34"/>
        <v>0</v>
      </c>
      <c r="AM28" s="250">
        <f t="shared" si="35"/>
        <v>0</v>
      </c>
      <c r="AN28" s="133"/>
    </row>
    <row r="29" spans="1:40" x14ac:dyDescent="0.3">
      <c r="A29" s="138" t="str">
        <f t="shared" ca="1" si="20"/>
        <v>State Classified Fringe</v>
      </c>
      <c r="B29" s="139">
        <f t="shared" si="38"/>
        <v>0</v>
      </c>
      <c r="C29" s="137">
        <f>+C28*'FY26 Fringe Rates'!$D$17</f>
        <v>0</v>
      </c>
      <c r="D29" s="106"/>
      <c r="E29" s="138" t="str">
        <f t="shared" ca="1" si="21"/>
        <v>State Classified Fringe</v>
      </c>
      <c r="F29" s="139">
        <f t="shared" si="36"/>
        <v>0</v>
      </c>
      <c r="G29" s="137">
        <f>+G28*'FY26 Fringe Rates'!$D$17</f>
        <v>0</v>
      </c>
      <c r="I29" s="138" t="str">
        <f t="shared" ca="1" si="22"/>
        <v>State Classified Fringe</v>
      </c>
      <c r="J29" s="139">
        <f t="shared" si="37"/>
        <v>0</v>
      </c>
      <c r="K29" s="137">
        <f>+K28*'FY26 Fringe Rates'!$D$17</f>
        <v>0</v>
      </c>
      <c r="M29" s="138" t="str">
        <f t="shared" ca="1" si="23"/>
        <v>State Classified Fringe</v>
      </c>
      <c r="N29" s="139">
        <f t="shared" si="24"/>
        <v>0</v>
      </c>
      <c r="O29" s="137">
        <f>+O28*'FY26 Fringe Rates'!$D$17</f>
        <v>0</v>
      </c>
      <c r="Q29" s="138" t="str">
        <f t="shared" ca="1" si="25"/>
        <v>State Classified Fringe</v>
      </c>
      <c r="R29" s="139">
        <f t="shared" si="26"/>
        <v>0</v>
      </c>
      <c r="S29" s="137">
        <f>+S28*'FY26 Fringe Rates'!$D$17</f>
        <v>0</v>
      </c>
      <c r="U29" s="138" t="str">
        <f t="shared" ca="1" si="27"/>
        <v>State Classified Fringe</v>
      </c>
      <c r="V29" s="139">
        <f t="shared" si="28"/>
        <v>0</v>
      </c>
      <c r="W29" s="137">
        <f>+W28*'FY26 Fringe Rates'!$D$17</f>
        <v>0</v>
      </c>
      <c r="Y29" s="138" t="str">
        <f t="shared" ca="1" si="29"/>
        <v>State Classified Fringe</v>
      </c>
      <c r="Z29" s="139">
        <f t="shared" si="19"/>
        <v>0</v>
      </c>
      <c r="AA29" s="137">
        <f>+AA28*'FY26 Fringe Rates'!$D$17</f>
        <v>0</v>
      </c>
      <c r="AC29" s="138" t="str">
        <f t="shared" ca="1" si="30"/>
        <v>State Classified Fringe</v>
      </c>
      <c r="AD29" s="139">
        <f t="shared" si="31"/>
        <v>0</v>
      </c>
      <c r="AE29" s="137">
        <f>+AE28*'FY26 Fringe Rates'!$D$17</f>
        <v>0</v>
      </c>
      <c r="AF29" s="106"/>
      <c r="AG29" s="138" t="str">
        <f t="shared" ca="1" si="32"/>
        <v>State Classified Fringe</v>
      </c>
      <c r="AH29" s="139">
        <f t="shared" si="39"/>
        <v>0</v>
      </c>
      <c r="AI29" s="137">
        <f>+AI28*'FY26 Fringe Rates'!$D$17</f>
        <v>0</v>
      </c>
      <c r="AJ29" s="147"/>
      <c r="AK29" s="249" t="str">
        <f t="shared" ca="1" si="33"/>
        <v>State Classified Fringe</v>
      </c>
      <c r="AL29" s="250">
        <f t="shared" si="34"/>
        <v>0</v>
      </c>
      <c r="AM29" s="250">
        <f t="shared" si="35"/>
        <v>0</v>
      </c>
      <c r="AN29" s="133"/>
    </row>
    <row r="30" spans="1:40" x14ac:dyDescent="0.3">
      <c r="A30" s="138" t="str">
        <f t="shared" ca="1" si="20"/>
        <v>Non-Student Hourly</v>
      </c>
      <c r="B30" s="139">
        <f>C30*12</f>
        <v>0</v>
      </c>
      <c r="C30" s="139">
        <f>+Labor!F35*'FY26 22 Billing Rate Calc'!$B$66</f>
        <v>0</v>
      </c>
      <c r="D30" s="106"/>
      <c r="E30" s="138" t="str">
        <f t="shared" ca="1" si="21"/>
        <v>Non-Student Hourly</v>
      </c>
      <c r="F30" s="139">
        <f>G30*12</f>
        <v>0</v>
      </c>
      <c r="G30" s="139">
        <f>+Labor!G35*'FY26 22 Billing Rate Calc'!$F$66</f>
        <v>0</v>
      </c>
      <c r="I30" s="138" t="str">
        <f t="shared" ca="1" si="22"/>
        <v>Non-Student Hourly</v>
      </c>
      <c r="J30" s="139">
        <f>K30*12</f>
        <v>0</v>
      </c>
      <c r="K30" s="139">
        <f>+Labor!H35*'FY26 22 Billing Rate Calc'!$J$66</f>
        <v>0</v>
      </c>
      <c r="M30" s="138" t="str">
        <f t="shared" ca="1" si="23"/>
        <v>Non-Student Hourly</v>
      </c>
      <c r="N30" s="139">
        <f>+O30*12</f>
        <v>0</v>
      </c>
      <c r="O30" s="139">
        <f>+Labor!I35*'FY26 22 Billing Rate Calc'!$N$66</f>
        <v>0</v>
      </c>
      <c r="Q30" s="138" t="str">
        <f t="shared" ca="1" si="25"/>
        <v>Non-Student Hourly</v>
      </c>
      <c r="R30" s="139">
        <f t="shared" si="26"/>
        <v>0</v>
      </c>
      <c r="S30" s="139">
        <f>+Labor!J35*'FY26 22 Billing Rate Calc'!$R$66</f>
        <v>0</v>
      </c>
      <c r="U30" s="138" t="str">
        <f t="shared" ca="1" si="27"/>
        <v>Non-Student Hourly</v>
      </c>
      <c r="V30" s="139">
        <f t="shared" si="28"/>
        <v>0</v>
      </c>
      <c r="W30" s="139">
        <f>+Labor!K35*'FY26 22 Billing Rate Calc'!$V$66</f>
        <v>0</v>
      </c>
      <c r="Y30" s="138" t="str">
        <f t="shared" ca="1" si="29"/>
        <v>Non-Student Hourly</v>
      </c>
      <c r="Z30" s="139">
        <f t="shared" si="19"/>
        <v>0</v>
      </c>
      <c r="AA30" s="139">
        <f>+Labor!L35*'FY26 22 Billing Rate Calc'!$Z$66</f>
        <v>0</v>
      </c>
      <c r="AC30" s="138" t="str">
        <f t="shared" ca="1" si="30"/>
        <v>Non-Student Hourly</v>
      </c>
      <c r="AD30" s="139">
        <f t="shared" si="31"/>
        <v>0</v>
      </c>
      <c r="AE30" s="139">
        <f>+Labor!M35*'FY26 22 Billing Rate Calc'!$AD$66</f>
        <v>0</v>
      </c>
      <c r="AF30" s="106"/>
      <c r="AG30" s="138" t="str">
        <f t="shared" ca="1" si="32"/>
        <v>Non-Student Hourly</v>
      </c>
      <c r="AH30" s="139">
        <f t="shared" si="39"/>
        <v>0</v>
      </c>
      <c r="AI30" s="139">
        <f>+Labor!N35*'FY26 22 Billing Rate Calc'!AH66</f>
        <v>0</v>
      </c>
      <c r="AJ30" s="147"/>
      <c r="AK30" s="249" t="str">
        <f t="shared" ca="1" si="33"/>
        <v>Non-Student Hourly</v>
      </c>
      <c r="AL30" s="250">
        <f t="shared" si="34"/>
        <v>0</v>
      </c>
      <c r="AM30" s="250">
        <f t="shared" si="35"/>
        <v>0</v>
      </c>
      <c r="AN30" s="133"/>
    </row>
    <row r="31" spans="1:40" x14ac:dyDescent="0.3">
      <c r="A31" s="138" t="str">
        <f t="shared" ca="1" si="20"/>
        <v>Non-Student Hourly Fringe</v>
      </c>
      <c r="B31" s="139">
        <f>C31*12</f>
        <v>0</v>
      </c>
      <c r="C31" s="137">
        <f>+C30*'FY26 Fringe Rates'!$D$33</f>
        <v>0</v>
      </c>
      <c r="D31" s="106"/>
      <c r="E31" s="138" t="str">
        <f t="shared" ca="1" si="21"/>
        <v>Non-Student Hourly Fringe</v>
      </c>
      <c r="F31" s="139">
        <f>G31*12</f>
        <v>0</v>
      </c>
      <c r="G31" s="137">
        <f>+G30*'FY26 Fringe Rates'!$D$33</f>
        <v>0</v>
      </c>
      <c r="I31" s="138" t="str">
        <f t="shared" ca="1" si="22"/>
        <v>Non-Student Hourly Fringe</v>
      </c>
      <c r="J31" s="139">
        <f>K31*12</f>
        <v>0</v>
      </c>
      <c r="K31" s="137">
        <f>+K30*'FY26 Fringe Rates'!$D$33</f>
        <v>0</v>
      </c>
      <c r="M31" s="138" t="str">
        <f t="shared" ca="1" si="23"/>
        <v>Non-Student Hourly Fringe</v>
      </c>
      <c r="N31" s="139">
        <f>+O31*12</f>
        <v>0</v>
      </c>
      <c r="O31" s="137">
        <f>+O30*'FY26 Fringe Rates'!$D$33</f>
        <v>0</v>
      </c>
      <c r="Q31" s="138" t="str">
        <f t="shared" ca="1" si="25"/>
        <v>Non-Student Hourly Fringe</v>
      </c>
      <c r="R31" s="139">
        <f>+S31*12</f>
        <v>0</v>
      </c>
      <c r="S31" s="137">
        <f>+S30*'FY26 Fringe Rates'!$D$33</f>
        <v>0</v>
      </c>
      <c r="U31" s="138" t="str">
        <f t="shared" ca="1" si="27"/>
        <v>Non-Student Hourly Fringe</v>
      </c>
      <c r="V31" s="139">
        <f>+W31*12</f>
        <v>0</v>
      </c>
      <c r="W31" s="137">
        <f>+W30*'FY26 Fringe Rates'!$D$33</f>
        <v>0</v>
      </c>
      <c r="Y31" s="138" t="str">
        <f t="shared" ca="1" si="29"/>
        <v>Non-Student Hourly Fringe</v>
      </c>
      <c r="Z31" s="139">
        <f>+AA31*12</f>
        <v>0</v>
      </c>
      <c r="AA31" s="137">
        <f>+AA30*'FY26 Fringe Rates'!$D$33</f>
        <v>0</v>
      </c>
      <c r="AC31" s="138" t="str">
        <f t="shared" ca="1" si="30"/>
        <v>Non-Student Hourly Fringe</v>
      </c>
      <c r="AD31" s="139">
        <f t="shared" si="31"/>
        <v>0</v>
      </c>
      <c r="AE31" s="137">
        <f>+AE30*'FY26 Fringe Rates'!$D$33</f>
        <v>0</v>
      </c>
      <c r="AF31" s="106"/>
      <c r="AG31" s="138" t="str">
        <f t="shared" ca="1" si="32"/>
        <v>Non-Student Hourly Fringe</v>
      </c>
      <c r="AH31" s="139">
        <f t="shared" si="39"/>
        <v>0</v>
      </c>
      <c r="AI31" s="137">
        <f>+AI30*'FY26 Fringe Rates'!$D$33</f>
        <v>0</v>
      </c>
      <c r="AJ31" s="147"/>
      <c r="AK31" s="249" t="str">
        <f t="shared" ca="1" si="33"/>
        <v>Non-Student Hourly Fringe</v>
      </c>
      <c r="AL31" s="250">
        <f t="shared" si="34"/>
        <v>0</v>
      </c>
      <c r="AM31" s="250">
        <f t="shared" si="35"/>
        <v>0</v>
      </c>
      <c r="AN31" s="133"/>
    </row>
    <row r="32" spans="1:40" x14ac:dyDescent="0.3">
      <c r="A32" s="138" t="str">
        <f t="shared" ca="1" si="20"/>
        <v>Student Hourly</v>
      </c>
      <c r="B32" s="139">
        <f>C32*12</f>
        <v>0</v>
      </c>
      <c r="C32" s="139">
        <f>+Labor!F25*'FY26 22 Billing Rate Calc'!$B$66</f>
        <v>0</v>
      </c>
      <c r="D32" s="106"/>
      <c r="E32" s="138" t="str">
        <f t="shared" ca="1" si="21"/>
        <v>Student Hourly</v>
      </c>
      <c r="F32" s="139">
        <f>G32*12</f>
        <v>0</v>
      </c>
      <c r="G32" s="139">
        <f>+Labor!G25*'FY26 22 Billing Rate Calc'!$F$66</f>
        <v>0</v>
      </c>
      <c r="I32" s="138" t="str">
        <f t="shared" ca="1" si="22"/>
        <v>Student Hourly</v>
      </c>
      <c r="J32" s="139">
        <f>K32*12</f>
        <v>0</v>
      </c>
      <c r="K32" s="139">
        <f>+Labor!H25*'FY26 22 Billing Rate Calc'!$J$66</f>
        <v>0</v>
      </c>
      <c r="M32" s="138" t="str">
        <f t="shared" ca="1" si="23"/>
        <v>Student Hourly</v>
      </c>
      <c r="N32" s="139">
        <f>+O32*12</f>
        <v>0</v>
      </c>
      <c r="O32" s="139">
        <f>+Labor!I25*'FY26 22 Billing Rate Calc'!$N$66</f>
        <v>0</v>
      </c>
      <c r="Q32" s="138" t="str">
        <f t="shared" ca="1" si="25"/>
        <v>Student Hourly</v>
      </c>
      <c r="R32" s="139">
        <f>+S32*12</f>
        <v>0</v>
      </c>
      <c r="S32" s="139">
        <f>+Labor!J25*'FY26 22 Billing Rate Calc'!$R$66</f>
        <v>0</v>
      </c>
      <c r="U32" s="138" t="str">
        <f t="shared" ca="1" si="27"/>
        <v>Student Hourly</v>
      </c>
      <c r="V32" s="139">
        <f>+W32*12</f>
        <v>0</v>
      </c>
      <c r="W32" s="139">
        <f>+Labor!K25*'FY26 22 Billing Rate Calc'!$V$66</f>
        <v>0</v>
      </c>
      <c r="Y32" s="138" t="str">
        <f t="shared" ca="1" si="29"/>
        <v>Student Hourly</v>
      </c>
      <c r="Z32" s="139">
        <f>+AA32*12</f>
        <v>0</v>
      </c>
      <c r="AA32" s="139">
        <f>+Labor!L25*'FY26 22 Billing Rate Calc'!$Z$66</f>
        <v>0</v>
      </c>
      <c r="AC32" s="138" t="str">
        <f t="shared" ca="1" si="30"/>
        <v>Student Hourly</v>
      </c>
      <c r="AD32" s="139">
        <f t="shared" si="31"/>
        <v>0</v>
      </c>
      <c r="AE32" s="139">
        <f>+Labor!M25*'FY26 22 Billing Rate Calc'!$AD$66</f>
        <v>0</v>
      </c>
      <c r="AF32" s="106"/>
      <c r="AG32" s="138" t="str">
        <f t="shared" ca="1" si="32"/>
        <v>Student Hourly</v>
      </c>
      <c r="AH32" s="139">
        <f t="shared" si="39"/>
        <v>0</v>
      </c>
      <c r="AI32" s="139">
        <f>+Labor!N25*'FY26 22 Billing Rate Calc'!AH66</f>
        <v>0</v>
      </c>
      <c r="AJ32" s="147"/>
      <c r="AK32" s="249" t="str">
        <f t="shared" ca="1" si="33"/>
        <v>Student Hourly</v>
      </c>
      <c r="AL32" s="250">
        <f t="shared" si="34"/>
        <v>0</v>
      </c>
      <c r="AM32" s="250">
        <f t="shared" si="35"/>
        <v>0</v>
      </c>
      <c r="AN32" s="133"/>
    </row>
    <row r="33" spans="1:40" x14ac:dyDescent="0.3">
      <c r="A33" s="138" t="str">
        <f t="shared" ca="1" si="20"/>
        <v>Student Hourly Fringe</v>
      </c>
      <c r="B33" s="139">
        <f>C33*12</f>
        <v>0</v>
      </c>
      <c r="C33" s="137">
        <f>+C32*'FY26 Fringe Rates'!$D$27</f>
        <v>0</v>
      </c>
      <c r="D33" s="106"/>
      <c r="E33" s="138" t="str">
        <f t="shared" ca="1" si="21"/>
        <v>Student Hourly Fringe</v>
      </c>
      <c r="F33" s="139">
        <f>G33*12</f>
        <v>0</v>
      </c>
      <c r="G33" s="137">
        <f>+G32*'FY26 Fringe Rates'!$D$27</f>
        <v>0</v>
      </c>
      <c r="I33" s="138" t="str">
        <f t="shared" ca="1" si="22"/>
        <v>Student Hourly Fringe</v>
      </c>
      <c r="J33" s="139">
        <f>K33*12</f>
        <v>0</v>
      </c>
      <c r="K33" s="137">
        <f>+K32*'FY26 Fringe Rates'!$D$27</f>
        <v>0</v>
      </c>
      <c r="M33" s="138" t="str">
        <f t="shared" ca="1" si="23"/>
        <v>Student Hourly Fringe</v>
      </c>
      <c r="N33" s="139">
        <f>+O33*12</f>
        <v>0</v>
      </c>
      <c r="O33" s="137">
        <f>+O32*'FY26 Fringe Rates'!$D$27</f>
        <v>0</v>
      </c>
      <c r="Q33" s="138" t="str">
        <f t="shared" ca="1" si="25"/>
        <v>Student Hourly Fringe</v>
      </c>
      <c r="R33" s="139">
        <f>+S33*12</f>
        <v>0</v>
      </c>
      <c r="S33" s="137">
        <f>+S32*'FY26 Fringe Rates'!$D$27</f>
        <v>0</v>
      </c>
      <c r="U33" s="138" t="str">
        <f t="shared" ca="1" si="27"/>
        <v>Student Hourly Fringe</v>
      </c>
      <c r="V33" s="139">
        <f>+W33*12</f>
        <v>0</v>
      </c>
      <c r="W33" s="137">
        <f>+W32*'FY26 Fringe Rates'!$D$27</f>
        <v>0</v>
      </c>
      <c r="Y33" s="138" t="str">
        <f t="shared" ca="1" si="29"/>
        <v>Student Hourly Fringe</v>
      </c>
      <c r="Z33" s="139">
        <f>+AA33*12</f>
        <v>0</v>
      </c>
      <c r="AA33" s="137">
        <f>+AA32*'FY26 Fringe Rates'!$D$27</f>
        <v>0</v>
      </c>
      <c r="AC33" s="138" t="str">
        <f t="shared" ca="1" si="30"/>
        <v>Student Hourly Fringe</v>
      </c>
      <c r="AD33" s="139">
        <f>+AE33*12</f>
        <v>0</v>
      </c>
      <c r="AE33" s="137">
        <f>+AE32*'FY26 Fringe Rates'!$D$27</f>
        <v>0</v>
      </c>
      <c r="AF33" s="106"/>
      <c r="AG33" s="138" t="str">
        <f t="shared" ca="1" si="32"/>
        <v>Student Hourly Fringe</v>
      </c>
      <c r="AH33" s="139">
        <f t="shared" si="39"/>
        <v>0</v>
      </c>
      <c r="AI33" s="137">
        <f>+AI32*'FY26 Fringe Rates'!$D$27</f>
        <v>0</v>
      </c>
      <c r="AJ33" s="147"/>
      <c r="AK33" s="249" t="str">
        <f t="shared" ca="1" si="33"/>
        <v>Student Hourly Fringe</v>
      </c>
      <c r="AL33" s="250">
        <f>B33+F33+J33+N33+R33+V33+Z33+AD33+AH33</f>
        <v>0</v>
      </c>
      <c r="AM33" s="250">
        <f t="shared" si="35"/>
        <v>0</v>
      </c>
      <c r="AN33" s="133"/>
    </row>
    <row r="34" spans="1:40" x14ac:dyDescent="0.3">
      <c r="A34" s="138" t="str">
        <f t="shared" ca="1" si="20"/>
        <v>Travel</v>
      </c>
      <c r="B34" s="265">
        <v>0</v>
      </c>
      <c r="C34" s="141">
        <f t="shared" si="10"/>
        <v>0</v>
      </c>
      <c r="D34" s="105"/>
      <c r="E34" s="138" t="str">
        <f t="shared" ca="1" si="21"/>
        <v>Travel</v>
      </c>
      <c r="F34" s="265">
        <v>0</v>
      </c>
      <c r="G34" s="141">
        <f t="shared" si="11"/>
        <v>0</v>
      </c>
      <c r="I34" s="138" t="str">
        <f t="shared" ca="1" si="22"/>
        <v>Travel</v>
      </c>
      <c r="J34" s="265">
        <v>0</v>
      </c>
      <c r="K34" s="141">
        <f t="shared" si="12"/>
        <v>0</v>
      </c>
      <c r="M34" s="138" t="str">
        <f t="shared" ca="1" si="23"/>
        <v>Travel</v>
      </c>
      <c r="N34" s="265">
        <v>0</v>
      </c>
      <c r="O34" s="141">
        <f t="shared" si="13"/>
        <v>0</v>
      </c>
      <c r="Q34" s="138" t="str">
        <f t="shared" ca="1" si="25"/>
        <v>Travel</v>
      </c>
      <c r="R34" s="265">
        <v>0</v>
      </c>
      <c r="S34" s="141">
        <f t="shared" si="14"/>
        <v>0</v>
      </c>
      <c r="U34" s="138" t="str">
        <f t="shared" ca="1" si="27"/>
        <v>Travel</v>
      </c>
      <c r="V34" s="265">
        <v>0</v>
      </c>
      <c r="W34" s="141">
        <f t="shared" si="15"/>
        <v>0</v>
      </c>
      <c r="Y34" s="138" t="str">
        <f t="shared" ca="1" si="29"/>
        <v>Travel</v>
      </c>
      <c r="Z34" s="265">
        <v>0</v>
      </c>
      <c r="AA34" s="141">
        <f t="shared" si="16"/>
        <v>0</v>
      </c>
      <c r="AC34" s="138" t="str">
        <f t="shared" ca="1" si="30"/>
        <v>Travel</v>
      </c>
      <c r="AD34" s="265">
        <v>0</v>
      </c>
      <c r="AE34" s="141">
        <f t="shared" si="17"/>
        <v>0</v>
      </c>
      <c r="AF34" s="105"/>
      <c r="AG34" s="138" t="str">
        <f t="shared" ca="1" si="32"/>
        <v>Travel</v>
      </c>
      <c r="AH34" s="265">
        <v>0</v>
      </c>
      <c r="AI34" s="141">
        <f>+AH34/12</f>
        <v>0</v>
      </c>
      <c r="AJ34" s="147"/>
      <c r="AK34" s="249" t="str">
        <f t="shared" ca="1" si="33"/>
        <v>Travel</v>
      </c>
      <c r="AL34" s="250">
        <f>B34+F34+J34+N34+R34+V34+Z34+AD34+AH34</f>
        <v>0</v>
      </c>
      <c r="AM34" s="250">
        <f>C34+G34+K34+O34+S34+W34+AA34+AE34+AI34</f>
        <v>0</v>
      </c>
    </row>
    <row r="35" spans="1:40" x14ac:dyDescent="0.3">
      <c r="A35" s="146" t="s">
        <v>27</v>
      </c>
      <c r="B35" s="141">
        <f>SUM(B36:B46)</f>
        <v>0</v>
      </c>
      <c r="C35" s="141">
        <f t="shared" si="10"/>
        <v>0</v>
      </c>
      <c r="D35" s="105"/>
      <c r="E35" s="146" t="s">
        <v>27</v>
      </c>
      <c r="F35" s="141">
        <f>SUM(F36:F46)</f>
        <v>0</v>
      </c>
      <c r="G35" s="141">
        <f t="shared" si="11"/>
        <v>0</v>
      </c>
      <c r="I35" s="146" t="s">
        <v>27</v>
      </c>
      <c r="J35" s="141">
        <f>SUM(J36:J46)</f>
        <v>0</v>
      </c>
      <c r="K35" s="141">
        <f t="shared" si="12"/>
        <v>0</v>
      </c>
      <c r="M35" s="146" t="s">
        <v>27</v>
      </c>
      <c r="N35" s="141">
        <f>SUM(N36:N46)</f>
        <v>0</v>
      </c>
      <c r="O35" s="141">
        <f t="shared" si="13"/>
        <v>0</v>
      </c>
      <c r="Q35" s="146" t="s">
        <v>27</v>
      </c>
      <c r="R35" s="141">
        <f>SUM(R36:R46)</f>
        <v>0</v>
      </c>
      <c r="S35" s="141">
        <f t="shared" si="14"/>
        <v>0</v>
      </c>
      <c r="U35" s="146" t="s">
        <v>27</v>
      </c>
      <c r="V35" s="141">
        <f>SUM(V36:V46)</f>
        <v>0</v>
      </c>
      <c r="W35" s="141">
        <f t="shared" si="15"/>
        <v>0</v>
      </c>
      <c r="Y35" s="146" t="s">
        <v>27</v>
      </c>
      <c r="Z35" s="141">
        <f>SUM(Z36:Z46)</f>
        <v>0</v>
      </c>
      <c r="AA35" s="141">
        <f>Z35/12</f>
        <v>0</v>
      </c>
      <c r="AC35" s="146" t="s">
        <v>27</v>
      </c>
      <c r="AD35" s="141">
        <f>SUM(AD36:AD46)</f>
        <v>0</v>
      </c>
      <c r="AE35" s="141">
        <f>AD35/12</f>
        <v>0</v>
      </c>
      <c r="AF35" s="105"/>
      <c r="AG35" s="146" t="s">
        <v>27</v>
      </c>
      <c r="AH35" s="141">
        <f>SUM(AH36:AH46)</f>
        <v>0</v>
      </c>
      <c r="AI35" s="141">
        <f>+AH35/12</f>
        <v>0</v>
      </c>
      <c r="AJ35" s="147"/>
      <c r="AK35" s="247" t="s">
        <v>27</v>
      </c>
      <c r="AL35" s="248">
        <f t="shared" ref="AL35:AM37" si="40">B35+F35+J35+N35+R35+V35+Z35+AD35+AH35</f>
        <v>0</v>
      </c>
      <c r="AM35" s="248">
        <f t="shared" si="40"/>
        <v>0</v>
      </c>
    </row>
    <row r="36" spans="1:40" x14ac:dyDescent="0.3">
      <c r="A36" s="317" t="s">
        <v>254</v>
      </c>
      <c r="B36" s="137">
        <v>0</v>
      </c>
      <c r="C36" s="139">
        <f t="shared" si="10"/>
        <v>0</v>
      </c>
      <c r="D36" s="106"/>
      <c r="E36" s="317" t="str">
        <f>+$A36</f>
        <v>Lab Supplies</v>
      </c>
      <c r="F36" s="137">
        <v>0</v>
      </c>
      <c r="G36" s="139">
        <v>0</v>
      </c>
      <c r="I36" s="317" t="str">
        <f>+$A36</f>
        <v>Lab Supplies</v>
      </c>
      <c r="J36" s="137">
        <v>0</v>
      </c>
      <c r="K36" s="139">
        <f t="shared" ref="K36:K37" si="41">J36/12</f>
        <v>0</v>
      </c>
      <c r="M36" s="317" t="str">
        <f>+$A36</f>
        <v>Lab Supplies</v>
      </c>
      <c r="N36" s="137">
        <v>0</v>
      </c>
      <c r="O36" s="139">
        <f t="shared" si="13"/>
        <v>0</v>
      </c>
      <c r="Q36" s="317" t="str">
        <f>+$A36</f>
        <v>Lab Supplies</v>
      </c>
      <c r="R36" s="137">
        <v>0</v>
      </c>
      <c r="S36" s="139">
        <f t="shared" si="14"/>
        <v>0</v>
      </c>
      <c r="U36" s="317" t="str">
        <f>+$A36</f>
        <v>Lab Supplies</v>
      </c>
      <c r="V36" s="137">
        <v>0</v>
      </c>
      <c r="W36" s="139"/>
      <c r="Y36" s="317" t="str">
        <f>+$A36</f>
        <v>Lab Supplies</v>
      </c>
      <c r="Z36" s="137">
        <v>0</v>
      </c>
      <c r="AA36" s="139">
        <f t="shared" si="16"/>
        <v>0</v>
      </c>
      <c r="AC36" s="317" t="str">
        <f>+$A36</f>
        <v>Lab Supplies</v>
      </c>
      <c r="AD36" s="137">
        <v>0</v>
      </c>
      <c r="AE36" s="139">
        <v>0</v>
      </c>
      <c r="AF36" s="106"/>
      <c r="AG36" s="317" t="str">
        <f>+$A36</f>
        <v>Lab Supplies</v>
      </c>
      <c r="AH36" s="137">
        <v>0</v>
      </c>
      <c r="AI36" s="139">
        <f>+AH36/12</f>
        <v>0</v>
      </c>
      <c r="AJ36" s="147"/>
      <c r="AK36" s="318" t="str">
        <f>+$A36</f>
        <v>Lab Supplies</v>
      </c>
      <c r="AL36" s="250">
        <f t="shared" si="40"/>
        <v>0</v>
      </c>
      <c r="AM36" s="250">
        <f t="shared" si="40"/>
        <v>0</v>
      </c>
    </row>
    <row r="37" spans="1:40" x14ac:dyDescent="0.3">
      <c r="A37" s="317" t="s">
        <v>334</v>
      </c>
      <c r="B37" s="137">
        <v>0</v>
      </c>
      <c r="C37" s="139">
        <f t="shared" si="10"/>
        <v>0</v>
      </c>
      <c r="D37" s="106"/>
      <c r="E37" s="317" t="str">
        <f t="shared" ref="E37:E46" si="42">+$A37</f>
        <v>PPE</v>
      </c>
      <c r="F37" s="137">
        <v>0</v>
      </c>
      <c r="G37" s="139">
        <f t="shared" ref="G37" si="43">F37/12</f>
        <v>0</v>
      </c>
      <c r="I37" s="317" t="str">
        <f t="shared" ref="I37:I46" si="44">+$A37</f>
        <v>PPE</v>
      </c>
      <c r="J37" s="137">
        <v>0</v>
      </c>
      <c r="K37" s="139">
        <f t="shared" si="41"/>
        <v>0</v>
      </c>
      <c r="M37" s="317" t="str">
        <f t="shared" ref="M37:M46" si="45">+$A37</f>
        <v>PPE</v>
      </c>
      <c r="N37" s="137">
        <v>0</v>
      </c>
      <c r="O37" s="139">
        <f t="shared" si="13"/>
        <v>0</v>
      </c>
      <c r="Q37" s="317" t="str">
        <f t="shared" ref="Q37:Q46" si="46">+$A37</f>
        <v>PPE</v>
      </c>
      <c r="R37" s="137">
        <v>0</v>
      </c>
      <c r="S37" s="139">
        <f t="shared" si="14"/>
        <v>0</v>
      </c>
      <c r="U37" s="317" t="str">
        <f t="shared" ref="U37:U46" si="47">+$A37</f>
        <v>PPE</v>
      </c>
      <c r="V37" s="137">
        <v>0</v>
      </c>
      <c r="W37" s="139">
        <f t="shared" ref="W37" si="48">V37/12</f>
        <v>0</v>
      </c>
      <c r="Y37" s="317" t="str">
        <f t="shared" ref="Y37:Y46" si="49">+$A37</f>
        <v>PPE</v>
      </c>
      <c r="Z37" s="137">
        <v>0</v>
      </c>
      <c r="AA37" s="139">
        <f t="shared" si="16"/>
        <v>0</v>
      </c>
      <c r="AC37" s="317" t="str">
        <f t="shared" ref="AC37:AC46" si="50">+$A37</f>
        <v>PPE</v>
      </c>
      <c r="AD37" s="137">
        <v>0</v>
      </c>
      <c r="AE37" s="139">
        <f t="shared" ref="AE37" si="51">AD37/12</f>
        <v>0</v>
      </c>
      <c r="AF37" s="106"/>
      <c r="AG37" s="317" t="str">
        <f t="shared" ref="AG37:AG46" si="52">+$A37</f>
        <v>PPE</v>
      </c>
      <c r="AH37" s="137">
        <v>0</v>
      </c>
      <c r="AI37" s="139">
        <f>+AH37/12</f>
        <v>0</v>
      </c>
      <c r="AJ37" s="147"/>
      <c r="AK37" s="318" t="str">
        <f t="shared" ref="AK37:AK46" si="53">+$A37</f>
        <v>PPE</v>
      </c>
      <c r="AL37" s="250">
        <f t="shared" si="40"/>
        <v>0</v>
      </c>
      <c r="AM37" s="250">
        <f t="shared" si="40"/>
        <v>0</v>
      </c>
    </row>
    <row r="38" spans="1:40" x14ac:dyDescent="0.3">
      <c r="A38" s="317" t="s">
        <v>335</v>
      </c>
      <c r="B38" s="137">
        <v>0</v>
      </c>
      <c r="C38" s="139">
        <f t="shared" si="10"/>
        <v>0</v>
      </c>
      <c r="D38" s="106"/>
      <c r="E38" s="317" t="str">
        <f t="shared" si="42"/>
        <v>Chemicals</v>
      </c>
      <c r="F38" s="137">
        <v>0</v>
      </c>
      <c r="G38" s="139">
        <v>0</v>
      </c>
      <c r="I38" s="317" t="str">
        <f t="shared" si="44"/>
        <v>Chemicals</v>
      </c>
      <c r="J38" s="137">
        <v>0</v>
      </c>
      <c r="K38" s="139">
        <f t="shared" si="12"/>
        <v>0</v>
      </c>
      <c r="M38" s="317" t="str">
        <f t="shared" si="45"/>
        <v>Chemicals</v>
      </c>
      <c r="N38" s="137">
        <v>0</v>
      </c>
      <c r="O38" s="139">
        <f t="shared" si="13"/>
        <v>0</v>
      </c>
      <c r="Q38" s="317" t="str">
        <f t="shared" si="46"/>
        <v>Chemicals</v>
      </c>
      <c r="R38" s="137">
        <v>0</v>
      </c>
      <c r="S38" s="139">
        <f t="shared" si="14"/>
        <v>0</v>
      </c>
      <c r="U38" s="317" t="str">
        <f t="shared" si="47"/>
        <v>Chemicals</v>
      </c>
      <c r="V38" s="137">
        <v>0</v>
      </c>
      <c r="W38" s="139">
        <f t="shared" si="15"/>
        <v>0</v>
      </c>
      <c r="Y38" s="317" t="str">
        <f t="shared" si="49"/>
        <v>Chemicals</v>
      </c>
      <c r="Z38" s="137">
        <v>0</v>
      </c>
      <c r="AA38" s="139">
        <f t="shared" si="16"/>
        <v>0</v>
      </c>
      <c r="AC38" s="317" t="str">
        <f t="shared" si="50"/>
        <v>Chemicals</v>
      </c>
      <c r="AD38" s="137">
        <v>0</v>
      </c>
      <c r="AE38" s="139">
        <f t="shared" si="17"/>
        <v>0</v>
      </c>
      <c r="AF38" s="106"/>
      <c r="AG38" s="317" t="str">
        <f t="shared" si="52"/>
        <v>Chemicals</v>
      </c>
      <c r="AH38" s="137">
        <v>0</v>
      </c>
      <c r="AI38" s="139">
        <f t="shared" ref="AI38:AI46" si="54">+AH38/12</f>
        <v>0</v>
      </c>
      <c r="AJ38" s="147"/>
      <c r="AK38" s="318" t="str">
        <f t="shared" si="53"/>
        <v>Chemicals</v>
      </c>
      <c r="AL38" s="250">
        <f t="shared" ref="AL38:AL46" si="55">B38+F38+J38+N38+R38+V38+Z38+AD38+AH38</f>
        <v>0</v>
      </c>
      <c r="AM38" s="250">
        <f t="shared" ref="AM38:AM46" si="56">C38+G38+K38+O38+S38+W38+AA38+AE38+AI38</f>
        <v>0</v>
      </c>
    </row>
    <row r="39" spans="1:40" x14ac:dyDescent="0.3">
      <c r="A39" s="317" t="s">
        <v>336</v>
      </c>
      <c r="B39" s="137">
        <v>0</v>
      </c>
      <c r="C39" s="139">
        <f t="shared" ref="C39:C46" si="57">B39/12</f>
        <v>0</v>
      </c>
      <c r="D39" s="106"/>
      <c r="E39" s="317" t="str">
        <f t="shared" si="42"/>
        <v>Instrument Lubricant</v>
      </c>
      <c r="F39" s="137">
        <v>0</v>
      </c>
      <c r="G39" s="139">
        <f t="shared" ref="G39:G46" si="58">F39/12</f>
        <v>0</v>
      </c>
      <c r="I39" s="317" t="str">
        <f t="shared" si="44"/>
        <v>Instrument Lubricant</v>
      </c>
      <c r="J39" s="137">
        <v>0</v>
      </c>
      <c r="K39" s="139">
        <f t="shared" si="12"/>
        <v>0</v>
      </c>
      <c r="M39" s="317" t="str">
        <f t="shared" si="45"/>
        <v>Instrument Lubricant</v>
      </c>
      <c r="N39" s="137">
        <v>0</v>
      </c>
      <c r="O39" s="139">
        <f t="shared" si="13"/>
        <v>0</v>
      </c>
      <c r="Q39" s="317" t="str">
        <f t="shared" si="46"/>
        <v>Instrument Lubricant</v>
      </c>
      <c r="R39" s="137">
        <v>0</v>
      </c>
      <c r="S39" s="139">
        <f t="shared" si="14"/>
        <v>0</v>
      </c>
      <c r="U39" s="317" t="str">
        <f t="shared" si="47"/>
        <v>Instrument Lubricant</v>
      </c>
      <c r="V39" s="137">
        <v>0</v>
      </c>
      <c r="W39" s="139">
        <f t="shared" si="15"/>
        <v>0</v>
      </c>
      <c r="Y39" s="317" t="str">
        <f t="shared" si="49"/>
        <v>Instrument Lubricant</v>
      </c>
      <c r="Z39" s="137">
        <v>0</v>
      </c>
      <c r="AA39" s="139">
        <f t="shared" si="16"/>
        <v>0</v>
      </c>
      <c r="AC39" s="317" t="str">
        <f t="shared" si="50"/>
        <v>Instrument Lubricant</v>
      </c>
      <c r="AD39" s="137">
        <v>0</v>
      </c>
      <c r="AE39" s="139">
        <f t="shared" si="17"/>
        <v>0</v>
      </c>
      <c r="AF39" s="106"/>
      <c r="AG39" s="317" t="str">
        <f t="shared" si="52"/>
        <v>Instrument Lubricant</v>
      </c>
      <c r="AH39" s="137">
        <v>0</v>
      </c>
      <c r="AI39" s="139">
        <f t="shared" si="54"/>
        <v>0</v>
      </c>
      <c r="AJ39" s="147"/>
      <c r="AK39" s="318" t="str">
        <f t="shared" si="53"/>
        <v>Instrument Lubricant</v>
      </c>
      <c r="AL39" s="250">
        <f t="shared" si="55"/>
        <v>0</v>
      </c>
      <c r="AM39" s="250">
        <f t="shared" si="56"/>
        <v>0</v>
      </c>
    </row>
    <row r="40" spans="1:40" x14ac:dyDescent="0.3">
      <c r="A40" s="317" t="s">
        <v>194</v>
      </c>
      <c r="B40" s="137">
        <v>0</v>
      </c>
      <c r="C40" s="139">
        <f t="shared" si="57"/>
        <v>0</v>
      </c>
      <c r="D40" s="106"/>
      <c r="E40" s="317" t="str">
        <f t="shared" si="42"/>
        <v>Disinfectant</v>
      </c>
      <c r="F40" s="137">
        <v>0</v>
      </c>
      <c r="G40" s="139">
        <f t="shared" si="58"/>
        <v>0</v>
      </c>
      <c r="I40" s="317" t="str">
        <f t="shared" si="44"/>
        <v>Disinfectant</v>
      </c>
      <c r="J40" s="137">
        <v>0</v>
      </c>
      <c r="K40" s="139">
        <f t="shared" si="12"/>
        <v>0</v>
      </c>
      <c r="M40" s="317" t="str">
        <f t="shared" si="45"/>
        <v>Disinfectant</v>
      </c>
      <c r="N40" s="137">
        <v>0</v>
      </c>
      <c r="O40" s="139">
        <f t="shared" si="13"/>
        <v>0</v>
      </c>
      <c r="Q40" s="317" t="str">
        <f t="shared" si="46"/>
        <v>Disinfectant</v>
      </c>
      <c r="R40" s="137">
        <v>0</v>
      </c>
      <c r="S40" s="139">
        <f t="shared" si="14"/>
        <v>0</v>
      </c>
      <c r="U40" s="317" t="str">
        <f t="shared" si="47"/>
        <v>Disinfectant</v>
      </c>
      <c r="V40" s="137">
        <v>0</v>
      </c>
      <c r="W40" s="139">
        <f t="shared" si="15"/>
        <v>0</v>
      </c>
      <c r="Y40" s="317" t="str">
        <f t="shared" si="49"/>
        <v>Disinfectant</v>
      </c>
      <c r="Z40" s="137">
        <v>0</v>
      </c>
      <c r="AA40" s="139">
        <f t="shared" si="16"/>
        <v>0</v>
      </c>
      <c r="AC40" s="317" t="str">
        <f t="shared" si="50"/>
        <v>Disinfectant</v>
      </c>
      <c r="AD40" s="137">
        <v>0</v>
      </c>
      <c r="AE40" s="139">
        <f t="shared" si="17"/>
        <v>0</v>
      </c>
      <c r="AF40" s="106"/>
      <c r="AG40" s="317" t="str">
        <f t="shared" si="52"/>
        <v>Disinfectant</v>
      </c>
      <c r="AH40" s="137">
        <v>0</v>
      </c>
      <c r="AI40" s="139">
        <f t="shared" si="54"/>
        <v>0</v>
      </c>
      <c r="AJ40" s="147"/>
      <c r="AK40" s="318" t="str">
        <f t="shared" si="53"/>
        <v>Disinfectant</v>
      </c>
      <c r="AL40" s="250">
        <f t="shared" si="55"/>
        <v>0</v>
      </c>
      <c r="AM40" s="250">
        <f t="shared" si="56"/>
        <v>0</v>
      </c>
    </row>
    <row r="41" spans="1:40" x14ac:dyDescent="0.3">
      <c r="A41" s="317" t="s">
        <v>195</v>
      </c>
      <c r="B41" s="137">
        <v>0</v>
      </c>
      <c r="C41" s="139">
        <f t="shared" si="57"/>
        <v>0</v>
      </c>
      <c r="D41" s="106"/>
      <c r="E41" s="317" t="str">
        <f t="shared" si="42"/>
        <v>Paper Towels</v>
      </c>
      <c r="F41" s="137">
        <v>0</v>
      </c>
      <c r="G41" s="139">
        <f t="shared" si="58"/>
        <v>0</v>
      </c>
      <c r="I41" s="317" t="str">
        <f t="shared" si="44"/>
        <v>Paper Towels</v>
      </c>
      <c r="J41" s="137">
        <v>0</v>
      </c>
      <c r="K41" s="139">
        <f t="shared" si="12"/>
        <v>0</v>
      </c>
      <c r="M41" s="317" t="str">
        <f t="shared" si="45"/>
        <v>Paper Towels</v>
      </c>
      <c r="N41" s="137">
        <v>0</v>
      </c>
      <c r="O41" s="139">
        <f t="shared" si="13"/>
        <v>0</v>
      </c>
      <c r="Q41" s="317" t="str">
        <f t="shared" si="46"/>
        <v>Paper Towels</v>
      </c>
      <c r="R41" s="137">
        <v>0</v>
      </c>
      <c r="S41" s="139">
        <f t="shared" si="14"/>
        <v>0</v>
      </c>
      <c r="U41" s="317" t="str">
        <f t="shared" si="47"/>
        <v>Paper Towels</v>
      </c>
      <c r="V41" s="137">
        <v>0</v>
      </c>
      <c r="W41" s="139">
        <f t="shared" si="15"/>
        <v>0</v>
      </c>
      <c r="Y41" s="317" t="str">
        <f t="shared" si="49"/>
        <v>Paper Towels</v>
      </c>
      <c r="Z41" s="137">
        <v>0</v>
      </c>
      <c r="AA41" s="139">
        <f t="shared" si="16"/>
        <v>0</v>
      </c>
      <c r="AC41" s="317" t="str">
        <f t="shared" si="50"/>
        <v>Paper Towels</v>
      </c>
      <c r="AD41" s="137">
        <v>0</v>
      </c>
      <c r="AE41" s="139">
        <f t="shared" si="17"/>
        <v>0</v>
      </c>
      <c r="AF41" s="106"/>
      <c r="AG41" s="317" t="str">
        <f t="shared" si="52"/>
        <v>Paper Towels</v>
      </c>
      <c r="AH41" s="137">
        <v>0</v>
      </c>
      <c r="AI41" s="139">
        <f t="shared" si="54"/>
        <v>0</v>
      </c>
      <c r="AJ41" s="147"/>
      <c r="AK41" s="318" t="str">
        <f t="shared" si="53"/>
        <v>Paper Towels</v>
      </c>
      <c r="AL41" s="250">
        <f t="shared" si="55"/>
        <v>0</v>
      </c>
      <c r="AM41" s="250">
        <f t="shared" si="56"/>
        <v>0</v>
      </c>
    </row>
    <row r="42" spans="1:40" x14ac:dyDescent="0.3">
      <c r="A42" s="317" t="s">
        <v>337</v>
      </c>
      <c r="B42" s="137">
        <v>0</v>
      </c>
      <c r="C42" s="139">
        <f t="shared" si="57"/>
        <v>0</v>
      </c>
      <c r="D42" s="106"/>
      <c r="E42" s="317" t="str">
        <f t="shared" si="42"/>
        <v>Slides, Pipettes, etc.</v>
      </c>
      <c r="F42" s="137">
        <v>0</v>
      </c>
      <c r="G42" s="139">
        <f t="shared" si="58"/>
        <v>0</v>
      </c>
      <c r="I42" s="317" t="str">
        <f t="shared" si="44"/>
        <v>Slides, Pipettes, etc.</v>
      </c>
      <c r="J42" s="137">
        <v>0</v>
      </c>
      <c r="K42" s="139">
        <f t="shared" si="12"/>
        <v>0</v>
      </c>
      <c r="M42" s="317" t="str">
        <f t="shared" si="45"/>
        <v>Slides, Pipettes, etc.</v>
      </c>
      <c r="N42" s="137">
        <v>0</v>
      </c>
      <c r="O42" s="139">
        <f t="shared" si="13"/>
        <v>0</v>
      </c>
      <c r="Q42" s="317" t="str">
        <f t="shared" si="46"/>
        <v>Slides, Pipettes, etc.</v>
      </c>
      <c r="R42" s="137">
        <v>0</v>
      </c>
      <c r="S42" s="139">
        <f t="shared" si="14"/>
        <v>0</v>
      </c>
      <c r="U42" s="317" t="str">
        <f t="shared" si="47"/>
        <v>Slides, Pipettes, etc.</v>
      </c>
      <c r="V42" s="137">
        <v>0</v>
      </c>
      <c r="W42" s="139">
        <f t="shared" si="15"/>
        <v>0</v>
      </c>
      <c r="Y42" s="317" t="str">
        <f t="shared" si="49"/>
        <v>Slides, Pipettes, etc.</v>
      </c>
      <c r="Z42" s="137">
        <v>0</v>
      </c>
      <c r="AA42" s="139">
        <f t="shared" si="16"/>
        <v>0</v>
      </c>
      <c r="AC42" s="317" t="str">
        <f t="shared" si="50"/>
        <v>Slides, Pipettes, etc.</v>
      </c>
      <c r="AD42" s="137">
        <v>0</v>
      </c>
      <c r="AE42" s="139">
        <f t="shared" ref="AE42:AE46" si="59">AD42/12</f>
        <v>0</v>
      </c>
      <c r="AF42" s="106"/>
      <c r="AG42" s="317" t="str">
        <f t="shared" si="52"/>
        <v>Slides, Pipettes, etc.</v>
      </c>
      <c r="AH42" s="137">
        <v>0</v>
      </c>
      <c r="AI42" s="139">
        <f t="shared" si="54"/>
        <v>0</v>
      </c>
      <c r="AJ42" s="147"/>
      <c r="AK42" s="318" t="str">
        <f t="shared" si="53"/>
        <v>Slides, Pipettes, etc.</v>
      </c>
      <c r="AL42" s="250">
        <f t="shared" si="55"/>
        <v>0</v>
      </c>
      <c r="AM42" s="250">
        <f t="shared" si="56"/>
        <v>0</v>
      </c>
    </row>
    <row r="43" spans="1:40" x14ac:dyDescent="0.3">
      <c r="A43" s="138"/>
      <c r="B43" s="137">
        <v>0</v>
      </c>
      <c r="C43" s="139">
        <f t="shared" si="57"/>
        <v>0</v>
      </c>
      <c r="D43" s="106"/>
      <c r="E43" s="317">
        <f t="shared" si="42"/>
        <v>0</v>
      </c>
      <c r="F43" s="137">
        <v>0</v>
      </c>
      <c r="G43" s="139">
        <f t="shared" si="58"/>
        <v>0</v>
      </c>
      <c r="I43" s="317">
        <f t="shared" si="44"/>
        <v>0</v>
      </c>
      <c r="J43" s="137">
        <v>0</v>
      </c>
      <c r="K43" s="139">
        <f t="shared" si="12"/>
        <v>0</v>
      </c>
      <c r="M43" s="317">
        <f t="shared" si="45"/>
        <v>0</v>
      </c>
      <c r="N43" s="137">
        <v>0</v>
      </c>
      <c r="O43" s="139">
        <f t="shared" si="13"/>
        <v>0</v>
      </c>
      <c r="Q43" s="317">
        <f t="shared" si="46"/>
        <v>0</v>
      </c>
      <c r="R43" s="137">
        <v>0</v>
      </c>
      <c r="S43" s="139">
        <f t="shared" si="14"/>
        <v>0</v>
      </c>
      <c r="U43" s="317">
        <f t="shared" si="47"/>
        <v>0</v>
      </c>
      <c r="V43" s="137">
        <v>0</v>
      </c>
      <c r="W43" s="139">
        <f t="shared" si="15"/>
        <v>0</v>
      </c>
      <c r="Y43" s="317">
        <f t="shared" si="49"/>
        <v>0</v>
      </c>
      <c r="Z43" s="137">
        <v>0</v>
      </c>
      <c r="AA43" s="139">
        <f t="shared" si="16"/>
        <v>0</v>
      </c>
      <c r="AC43" s="317">
        <f t="shared" si="50"/>
        <v>0</v>
      </c>
      <c r="AD43" s="137">
        <v>0</v>
      </c>
      <c r="AE43" s="139">
        <f t="shared" si="59"/>
        <v>0</v>
      </c>
      <c r="AF43" s="106"/>
      <c r="AG43" s="317">
        <f t="shared" si="52"/>
        <v>0</v>
      </c>
      <c r="AH43" s="137">
        <v>0</v>
      </c>
      <c r="AI43" s="139">
        <f t="shared" si="54"/>
        <v>0</v>
      </c>
      <c r="AJ43" s="147"/>
      <c r="AK43" s="318">
        <f t="shared" si="53"/>
        <v>0</v>
      </c>
      <c r="AL43" s="250">
        <f>B43+F43+J43+N43+R43+V43+Z43+AD43+AH43</f>
        <v>0</v>
      </c>
      <c r="AM43" s="250">
        <f t="shared" si="56"/>
        <v>0</v>
      </c>
    </row>
    <row r="44" spans="1:40" x14ac:dyDescent="0.3">
      <c r="A44" s="138"/>
      <c r="B44" s="137">
        <v>0</v>
      </c>
      <c r="C44" s="139">
        <f t="shared" si="57"/>
        <v>0</v>
      </c>
      <c r="D44" s="106"/>
      <c r="E44" s="317">
        <f t="shared" si="42"/>
        <v>0</v>
      </c>
      <c r="F44" s="137">
        <v>0</v>
      </c>
      <c r="G44" s="139">
        <f t="shared" si="58"/>
        <v>0</v>
      </c>
      <c r="I44" s="317">
        <f t="shared" si="44"/>
        <v>0</v>
      </c>
      <c r="J44" s="137">
        <v>0</v>
      </c>
      <c r="K44" s="139">
        <f t="shared" si="12"/>
        <v>0</v>
      </c>
      <c r="M44" s="317">
        <f t="shared" si="45"/>
        <v>0</v>
      </c>
      <c r="N44" s="137">
        <v>0</v>
      </c>
      <c r="O44" s="139">
        <f t="shared" si="13"/>
        <v>0</v>
      </c>
      <c r="Q44" s="317">
        <f t="shared" si="46"/>
        <v>0</v>
      </c>
      <c r="R44" s="137">
        <v>0</v>
      </c>
      <c r="S44" s="139">
        <f t="shared" si="14"/>
        <v>0</v>
      </c>
      <c r="U44" s="317">
        <f t="shared" si="47"/>
        <v>0</v>
      </c>
      <c r="V44" s="137">
        <v>0</v>
      </c>
      <c r="W44" s="139">
        <f t="shared" si="15"/>
        <v>0</v>
      </c>
      <c r="Y44" s="317">
        <f t="shared" si="49"/>
        <v>0</v>
      </c>
      <c r="Z44" s="137">
        <v>0</v>
      </c>
      <c r="AA44" s="139">
        <f t="shared" si="16"/>
        <v>0</v>
      </c>
      <c r="AC44" s="317">
        <f t="shared" si="50"/>
        <v>0</v>
      </c>
      <c r="AD44" s="137">
        <v>0</v>
      </c>
      <c r="AE44" s="139">
        <f t="shared" si="59"/>
        <v>0</v>
      </c>
      <c r="AF44" s="106"/>
      <c r="AG44" s="317">
        <f t="shared" si="52"/>
        <v>0</v>
      </c>
      <c r="AH44" s="137">
        <v>0</v>
      </c>
      <c r="AI44" s="139">
        <f t="shared" si="54"/>
        <v>0</v>
      </c>
      <c r="AJ44" s="147"/>
      <c r="AK44" s="318">
        <f t="shared" si="53"/>
        <v>0</v>
      </c>
      <c r="AL44" s="250">
        <f t="shared" si="55"/>
        <v>0</v>
      </c>
      <c r="AM44" s="250">
        <f t="shared" si="56"/>
        <v>0</v>
      </c>
    </row>
    <row r="45" spans="1:40" x14ac:dyDescent="0.3">
      <c r="A45" s="138"/>
      <c r="B45" s="137">
        <v>0</v>
      </c>
      <c r="C45" s="139">
        <f t="shared" si="57"/>
        <v>0</v>
      </c>
      <c r="D45" s="106"/>
      <c r="E45" s="317">
        <f t="shared" si="42"/>
        <v>0</v>
      </c>
      <c r="F45" s="137">
        <v>0</v>
      </c>
      <c r="G45" s="139">
        <f t="shared" si="58"/>
        <v>0</v>
      </c>
      <c r="I45" s="317">
        <f t="shared" si="44"/>
        <v>0</v>
      </c>
      <c r="J45" s="137">
        <v>0</v>
      </c>
      <c r="K45" s="139">
        <f t="shared" si="12"/>
        <v>0</v>
      </c>
      <c r="M45" s="317">
        <f t="shared" si="45"/>
        <v>0</v>
      </c>
      <c r="N45" s="137">
        <v>0</v>
      </c>
      <c r="O45" s="139">
        <f t="shared" si="13"/>
        <v>0</v>
      </c>
      <c r="Q45" s="317">
        <f t="shared" si="46"/>
        <v>0</v>
      </c>
      <c r="R45" s="137">
        <v>0</v>
      </c>
      <c r="S45" s="139">
        <f t="shared" si="14"/>
        <v>0</v>
      </c>
      <c r="U45" s="317">
        <f t="shared" si="47"/>
        <v>0</v>
      </c>
      <c r="V45" s="137">
        <v>0</v>
      </c>
      <c r="W45" s="139">
        <f t="shared" si="15"/>
        <v>0</v>
      </c>
      <c r="Y45" s="317">
        <f t="shared" si="49"/>
        <v>0</v>
      </c>
      <c r="Z45" s="137">
        <v>0</v>
      </c>
      <c r="AA45" s="139">
        <f t="shared" si="16"/>
        <v>0</v>
      </c>
      <c r="AC45" s="317">
        <f t="shared" si="50"/>
        <v>0</v>
      </c>
      <c r="AD45" s="137">
        <v>0</v>
      </c>
      <c r="AE45" s="139">
        <f t="shared" si="59"/>
        <v>0</v>
      </c>
      <c r="AF45" s="106"/>
      <c r="AG45" s="317">
        <f t="shared" si="52"/>
        <v>0</v>
      </c>
      <c r="AH45" s="137">
        <v>0</v>
      </c>
      <c r="AI45" s="139">
        <f t="shared" si="54"/>
        <v>0</v>
      </c>
      <c r="AJ45" s="147"/>
      <c r="AK45" s="318">
        <f t="shared" si="53"/>
        <v>0</v>
      </c>
      <c r="AL45" s="250">
        <f t="shared" si="55"/>
        <v>0</v>
      </c>
      <c r="AM45" s="250">
        <f t="shared" si="56"/>
        <v>0</v>
      </c>
    </row>
    <row r="46" spans="1:40" x14ac:dyDescent="0.3">
      <c r="A46" s="138"/>
      <c r="B46" s="137">
        <v>0</v>
      </c>
      <c r="C46" s="139">
        <f t="shared" si="57"/>
        <v>0</v>
      </c>
      <c r="D46" s="106"/>
      <c r="E46" s="317">
        <f t="shared" si="42"/>
        <v>0</v>
      </c>
      <c r="F46" s="137">
        <v>0</v>
      </c>
      <c r="G46" s="139">
        <f t="shared" si="58"/>
        <v>0</v>
      </c>
      <c r="I46" s="317">
        <f t="shared" si="44"/>
        <v>0</v>
      </c>
      <c r="J46" s="137">
        <v>0</v>
      </c>
      <c r="K46" s="139">
        <f t="shared" si="12"/>
        <v>0</v>
      </c>
      <c r="M46" s="317">
        <f t="shared" si="45"/>
        <v>0</v>
      </c>
      <c r="N46" s="137">
        <v>0</v>
      </c>
      <c r="O46" s="139">
        <f t="shared" si="13"/>
        <v>0</v>
      </c>
      <c r="Q46" s="317">
        <f t="shared" si="46"/>
        <v>0</v>
      </c>
      <c r="R46" s="137">
        <v>0</v>
      </c>
      <c r="S46" s="139">
        <f t="shared" si="14"/>
        <v>0</v>
      </c>
      <c r="U46" s="317">
        <f t="shared" si="47"/>
        <v>0</v>
      </c>
      <c r="V46" s="137">
        <v>0</v>
      </c>
      <c r="W46" s="139">
        <f t="shared" si="15"/>
        <v>0</v>
      </c>
      <c r="Y46" s="317">
        <f t="shared" si="49"/>
        <v>0</v>
      </c>
      <c r="Z46" s="137">
        <v>0</v>
      </c>
      <c r="AA46" s="139">
        <f t="shared" si="16"/>
        <v>0</v>
      </c>
      <c r="AC46" s="317">
        <f t="shared" si="50"/>
        <v>0</v>
      </c>
      <c r="AD46" s="137">
        <v>0</v>
      </c>
      <c r="AE46" s="139">
        <f t="shared" si="59"/>
        <v>0</v>
      </c>
      <c r="AF46" s="106"/>
      <c r="AG46" s="317">
        <f t="shared" si="52"/>
        <v>0</v>
      </c>
      <c r="AH46" s="137">
        <v>0</v>
      </c>
      <c r="AI46" s="139">
        <f t="shared" si="54"/>
        <v>0</v>
      </c>
      <c r="AJ46" s="147"/>
      <c r="AK46" s="318">
        <f t="shared" si="53"/>
        <v>0</v>
      </c>
      <c r="AL46" s="250">
        <f t="shared" si="55"/>
        <v>0</v>
      </c>
      <c r="AM46" s="250">
        <f t="shared" si="56"/>
        <v>0</v>
      </c>
    </row>
    <row r="47" spans="1:40" x14ac:dyDescent="0.3">
      <c r="A47" s="146" t="s">
        <v>22</v>
      </c>
      <c r="B47" s="141">
        <f>SUM(B48:B56)</f>
        <v>0</v>
      </c>
      <c r="C47" s="141">
        <f t="shared" si="10"/>
        <v>0</v>
      </c>
      <c r="D47" s="105"/>
      <c r="E47" s="146" t="s">
        <v>22</v>
      </c>
      <c r="F47" s="141">
        <f>SUM(F48:F56)</f>
        <v>0</v>
      </c>
      <c r="G47" s="141">
        <f t="shared" si="11"/>
        <v>0</v>
      </c>
      <c r="I47" s="146" t="s">
        <v>22</v>
      </c>
      <c r="J47" s="141">
        <f>SUM(J48:J56)</f>
        <v>0</v>
      </c>
      <c r="K47" s="141">
        <f t="shared" si="12"/>
        <v>0</v>
      </c>
      <c r="M47" s="146" t="s">
        <v>22</v>
      </c>
      <c r="N47" s="141">
        <f>SUM(N48:N56)</f>
        <v>0</v>
      </c>
      <c r="O47" s="141">
        <f t="shared" si="13"/>
        <v>0</v>
      </c>
      <c r="Q47" s="146" t="s">
        <v>22</v>
      </c>
      <c r="R47" s="141">
        <f>SUM(R48:R56)</f>
        <v>0</v>
      </c>
      <c r="S47" s="141">
        <f t="shared" si="14"/>
        <v>0</v>
      </c>
      <c r="U47" s="146" t="s">
        <v>22</v>
      </c>
      <c r="V47" s="141">
        <f>SUM(V48:V56)</f>
        <v>0</v>
      </c>
      <c r="W47" s="141">
        <f t="shared" si="15"/>
        <v>0</v>
      </c>
      <c r="Y47" s="146" t="s">
        <v>22</v>
      </c>
      <c r="Z47" s="141">
        <f>SUM(Z48:Z56)</f>
        <v>0</v>
      </c>
      <c r="AA47" s="141">
        <f t="shared" si="16"/>
        <v>0</v>
      </c>
      <c r="AC47" s="146" t="s">
        <v>22</v>
      </c>
      <c r="AD47" s="141">
        <f>SUM(AD48:AD56)</f>
        <v>0</v>
      </c>
      <c r="AE47" s="141">
        <f t="shared" si="17"/>
        <v>0</v>
      </c>
      <c r="AF47" s="105"/>
      <c r="AG47" s="146" t="s">
        <v>22</v>
      </c>
      <c r="AH47" s="141">
        <f>SUM(AH48:AH56)</f>
        <v>0</v>
      </c>
      <c r="AI47" s="141">
        <f>+AH47/12</f>
        <v>0</v>
      </c>
      <c r="AJ47" s="147"/>
      <c r="AK47" s="247" t="s">
        <v>22</v>
      </c>
      <c r="AL47" s="248">
        <f>B47+F47+J47+N47+R47+V47+Z47+AD47+AH47</f>
        <v>0</v>
      </c>
      <c r="AM47" s="248">
        <f>C47+G47+K47+O47+S47+W47+AA47+AE47+AI47</f>
        <v>0</v>
      </c>
    </row>
    <row r="48" spans="1:40" x14ac:dyDescent="0.3">
      <c r="A48" s="138" t="s">
        <v>226</v>
      </c>
      <c r="B48" s="137">
        <v>0</v>
      </c>
      <c r="C48" s="139">
        <f t="shared" si="10"/>
        <v>0</v>
      </c>
      <c r="D48" s="106"/>
      <c r="E48" s="138" t="str">
        <f>+$A48</f>
        <v>Copier Lease</v>
      </c>
      <c r="F48" s="137">
        <v>0</v>
      </c>
      <c r="G48" s="139">
        <f t="shared" si="11"/>
        <v>0</v>
      </c>
      <c r="I48" s="138" t="str">
        <f>+$A48</f>
        <v>Copier Lease</v>
      </c>
      <c r="J48" s="137">
        <v>0</v>
      </c>
      <c r="K48" s="139">
        <f t="shared" si="12"/>
        <v>0</v>
      </c>
      <c r="M48" s="138" t="str">
        <f>+$A48</f>
        <v>Copier Lease</v>
      </c>
      <c r="N48" s="137">
        <v>0</v>
      </c>
      <c r="O48" s="139">
        <f t="shared" si="13"/>
        <v>0</v>
      </c>
      <c r="Q48" s="138" t="str">
        <f>+$A48</f>
        <v>Copier Lease</v>
      </c>
      <c r="R48" s="137">
        <v>0</v>
      </c>
      <c r="S48" s="139">
        <f t="shared" si="14"/>
        <v>0</v>
      </c>
      <c r="U48" s="138" t="str">
        <f>+$A48</f>
        <v>Copier Lease</v>
      </c>
      <c r="V48" s="137">
        <v>0</v>
      </c>
      <c r="W48" s="139">
        <f t="shared" si="15"/>
        <v>0</v>
      </c>
      <c r="Y48" s="138" t="str">
        <f>+$A48</f>
        <v>Copier Lease</v>
      </c>
      <c r="Z48" s="137">
        <v>0</v>
      </c>
      <c r="AA48" s="139">
        <f t="shared" si="16"/>
        <v>0</v>
      </c>
      <c r="AC48" s="138" t="str">
        <f>+$A48</f>
        <v>Copier Lease</v>
      </c>
      <c r="AD48" s="137">
        <v>0</v>
      </c>
      <c r="AE48" s="139">
        <f t="shared" si="17"/>
        <v>0</v>
      </c>
      <c r="AF48" s="106"/>
      <c r="AG48" s="138" t="str">
        <f>+$A48</f>
        <v>Copier Lease</v>
      </c>
      <c r="AH48" s="137">
        <v>0</v>
      </c>
      <c r="AI48" s="139">
        <f>+AH48/12</f>
        <v>0</v>
      </c>
      <c r="AJ48" s="147"/>
      <c r="AK48" s="249" t="str">
        <f>+$A48</f>
        <v>Copier Lease</v>
      </c>
      <c r="AL48" s="250">
        <f>B48+F48+J48+N48+R48+V48+Z48+AD48+AH48</f>
        <v>0</v>
      </c>
      <c r="AM48" s="250">
        <f>C48+G48+K48+O48+S48+W48+AA48+AE48+AI48</f>
        <v>0</v>
      </c>
    </row>
    <row r="49" spans="1:40" x14ac:dyDescent="0.3">
      <c r="A49" s="138" t="s">
        <v>227</v>
      </c>
      <c r="B49" s="137">
        <v>0</v>
      </c>
      <c r="C49" s="139">
        <f t="shared" si="10"/>
        <v>0</v>
      </c>
      <c r="D49" s="106"/>
      <c r="E49" s="138" t="str">
        <f t="shared" ref="E49:E56" si="60">+$A49</f>
        <v>Other Services</v>
      </c>
      <c r="F49" s="137">
        <v>0</v>
      </c>
      <c r="G49" s="139">
        <f t="shared" si="11"/>
        <v>0</v>
      </c>
      <c r="I49" s="138" t="str">
        <f t="shared" ref="I49:I56" si="61">+$A49</f>
        <v>Other Services</v>
      </c>
      <c r="J49" s="137">
        <v>0</v>
      </c>
      <c r="K49" s="139">
        <f t="shared" si="12"/>
        <v>0</v>
      </c>
      <c r="M49" s="138" t="str">
        <f t="shared" ref="M49:M56" si="62">+$A49</f>
        <v>Other Services</v>
      </c>
      <c r="N49" s="137">
        <v>0</v>
      </c>
      <c r="O49" s="139">
        <f t="shared" si="13"/>
        <v>0</v>
      </c>
      <c r="Q49" s="138" t="str">
        <f t="shared" ref="Q49:Q56" si="63">+$A49</f>
        <v>Other Services</v>
      </c>
      <c r="R49" s="137">
        <v>0</v>
      </c>
      <c r="S49" s="139">
        <f t="shared" si="14"/>
        <v>0</v>
      </c>
      <c r="U49" s="138" t="str">
        <f t="shared" ref="U49:U56" si="64">+$A49</f>
        <v>Other Services</v>
      </c>
      <c r="V49" s="137">
        <v>0</v>
      </c>
      <c r="W49" s="139">
        <f t="shared" si="15"/>
        <v>0</v>
      </c>
      <c r="Y49" s="138" t="str">
        <f t="shared" ref="Y49:Y56" si="65">+$A49</f>
        <v>Other Services</v>
      </c>
      <c r="Z49" s="137">
        <v>0</v>
      </c>
      <c r="AA49" s="139">
        <f t="shared" si="16"/>
        <v>0</v>
      </c>
      <c r="AC49" s="138" t="str">
        <f t="shared" ref="AC49:AC56" si="66">+$A49</f>
        <v>Other Services</v>
      </c>
      <c r="AD49" s="137">
        <v>0</v>
      </c>
      <c r="AE49" s="139">
        <f t="shared" si="17"/>
        <v>0</v>
      </c>
      <c r="AF49" s="106"/>
      <c r="AG49" s="138" t="str">
        <f t="shared" ref="AG49:AG56" si="67">+$A49</f>
        <v>Other Services</v>
      </c>
      <c r="AH49" s="137">
        <v>0</v>
      </c>
      <c r="AI49" s="139">
        <f t="shared" ref="AI49:AI56" si="68">+AH49/12</f>
        <v>0</v>
      </c>
      <c r="AJ49" s="147"/>
      <c r="AK49" s="249" t="str">
        <f t="shared" ref="AK49:AK56" si="69">+$A49</f>
        <v>Other Services</v>
      </c>
      <c r="AL49" s="250">
        <f t="shared" ref="AL49:AL53" si="70">B49+F49+J49+N49+R49+V49+Z49+AD49+AH49</f>
        <v>0</v>
      </c>
      <c r="AM49" s="250">
        <f t="shared" ref="AM49:AM56" si="71">C49+G49+K49+O49+S49+W49+AA49+AE49+AI49</f>
        <v>0</v>
      </c>
    </row>
    <row r="50" spans="1:40" x14ac:dyDescent="0.3">
      <c r="A50" s="138" t="s">
        <v>156</v>
      </c>
      <c r="B50" s="137">
        <v>0</v>
      </c>
      <c r="C50" s="139">
        <f t="shared" si="10"/>
        <v>0</v>
      </c>
      <c r="D50" s="106"/>
      <c r="E50" s="138" t="str">
        <f t="shared" si="60"/>
        <v>Graduate Tuition</v>
      </c>
      <c r="F50" s="137">
        <v>0</v>
      </c>
      <c r="G50" s="139">
        <f t="shared" si="11"/>
        <v>0</v>
      </c>
      <c r="I50" s="138" t="str">
        <f t="shared" si="61"/>
        <v>Graduate Tuition</v>
      </c>
      <c r="J50" s="137">
        <v>0</v>
      </c>
      <c r="K50" s="139">
        <f t="shared" si="12"/>
        <v>0</v>
      </c>
      <c r="M50" s="138" t="str">
        <f t="shared" si="62"/>
        <v>Graduate Tuition</v>
      </c>
      <c r="N50" s="137">
        <v>0</v>
      </c>
      <c r="O50" s="139">
        <f t="shared" si="13"/>
        <v>0</v>
      </c>
      <c r="Q50" s="138" t="str">
        <f t="shared" si="63"/>
        <v>Graduate Tuition</v>
      </c>
      <c r="R50" s="137">
        <v>0</v>
      </c>
      <c r="S50" s="139">
        <f t="shared" si="14"/>
        <v>0</v>
      </c>
      <c r="U50" s="138" t="str">
        <f t="shared" si="64"/>
        <v>Graduate Tuition</v>
      </c>
      <c r="V50" s="137">
        <v>0</v>
      </c>
      <c r="W50" s="139">
        <f t="shared" si="15"/>
        <v>0</v>
      </c>
      <c r="Y50" s="138" t="str">
        <f t="shared" si="65"/>
        <v>Graduate Tuition</v>
      </c>
      <c r="Z50" s="137">
        <v>0</v>
      </c>
      <c r="AA50" s="139">
        <f t="shared" si="16"/>
        <v>0</v>
      </c>
      <c r="AC50" s="138" t="str">
        <f t="shared" si="66"/>
        <v>Graduate Tuition</v>
      </c>
      <c r="AD50" s="137">
        <v>0</v>
      </c>
      <c r="AE50" s="139">
        <f t="shared" si="17"/>
        <v>0</v>
      </c>
      <c r="AF50" s="106"/>
      <c r="AG50" s="138" t="str">
        <f t="shared" si="67"/>
        <v>Graduate Tuition</v>
      </c>
      <c r="AH50" s="137">
        <v>0</v>
      </c>
      <c r="AI50" s="139">
        <f t="shared" si="68"/>
        <v>0</v>
      </c>
      <c r="AJ50" s="147"/>
      <c r="AK50" s="249" t="str">
        <f t="shared" si="69"/>
        <v>Graduate Tuition</v>
      </c>
      <c r="AL50" s="250">
        <f t="shared" si="70"/>
        <v>0</v>
      </c>
      <c r="AM50" s="250">
        <f t="shared" si="71"/>
        <v>0</v>
      </c>
    </row>
    <row r="51" spans="1:40" x14ac:dyDescent="0.3">
      <c r="A51" s="138" t="s">
        <v>157</v>
      </c>
      <c r="B51" s="137">
        <v>0</v>
      </c>
      <c r="C51" s="139">
        <f t="shared" si="10"/>
        <v>0</v>
      </c>
      <c r="D51" s="106"/>
      <c r="E51" s="138" t="str">
        <f t="shared" si="60"/>
        <v>Inventory Adjustments</v>
      </c>
      <c r="F51" s="137">
        <v>0</v>
      </c>
      <c r="G51" s="139">
        <f t="shared" si="11"/>
        <v>0</v>
      </c>
      <c r="I51" s="138" t="str">
        <f t="shared" si="61"/>
        <v>Inventory Adjustments</v>
      </c>
      <c r="J51" s="137">
        <v>0</v>
      </c>
      <c r="K51" s="139">
        <f t="shared" si="12"/>
        <v>0</v>
      </c>
      <c r="M51" s="138" t="str">
        <f t="shared" si="62"/>
        <v>Inventory Adjustments</v>
      </c>
      <c r="N51" s="137">
        <v>0</v>
      </c>
      <c r="O51" s="139">
        <f t="shared" si="13"/>
        <v>0</v>
      </c>
      <c r="Q51" s="138" t="str">
        <f t="shared" si="63"/>
        <v>Inventory Adjustments</v>
      </c>
      <c r="R51" s="137">
        <v>0</v>
      </c>
      <c r="S51" s="139">
        <f>R51/12</f>
        <v>0</v>
      </c>
      <c r="U51" s="138" t="str">
        <f t="shared" si="64"/>
        <v>Inventory Adjustments</v>
      </c>
      <c r="V51" s="137">
        <v>0</v>
      </c>
      <c r="W51" s="139">
        <f>V51/12</f>
        <v>0</v>
      </c>
      <c r="Y51" s="138" t="str">
        <f t="shared" si="65"/>
        <v>Inventory Adjustments</v>
      </c>
      <c r="Z51" s="137">
        <v>0</v>
      </c>
      <c r="AA51" s="139">
        <f>Z51/12</f>
        <v>0</v>
      </c>
      <c r="AC51" s="138" t="str">
        <f t="shared" si="66"/>
        <v>Inventory Adjustments</v>
      </c>
      <c r="AD51" s="137">
        <v>0</v>
      </c>
      <c r="AE51" s="139">
        <f>AD51/12</f>
        <v>0</v>
      </c>
      <c r="AF51" s="106"/>
      <c r="AG51" s="138" t="str">
        <f t="shared" si="67"/>
        <v>Inventory Adjustments</v>
      </c>
      <c r="AH51" s="137">
        <v>0</v>
      </c>
      <c r="AI51" s="139">
        <f t="shared" si="68"/>
        <v>0</v>
      </c>
      <c r="AJ51" s="147"/>
      <c r="AK51" s="249" t="str">
        <f t="shared" si="69"/>
        <v>Inventory Adjustments</v>
      </c>
      <c r="AL51" s="250">
        <f t="shared" si="70"/>
        <v>0</v>
      </c>
      <c r="AM51" s="250">
        <f t="shared" si="71"/>
        <v>0</v>
      </c>
    </row>
    <row r="52" spans="1:40" x14ac:dyDescent="0.3">
      <c r="A52" s="138" t="s">
        <v>190</v>
      </c>
      <c r="B52" s="137">
        <v>0</v>
      </c>
      <c r="C52" s="139">
        <f t="shared" si="10"/>
        <v>0</v>
      </c>
      <c r="D52" s="106"/>
      <c r="E52" s="138" t="str">
        <f t="shared" si="60"/>
        <v>Service Contract</v>
      </c>
      <c r="F52" s="137">
        <v>0</v>
      </c>
      <c r="G52" s="139">
        <f t="shared" si="11"/>
        <v>0</v>
      </c>
      <c r="I52" s="138" t="str">
        <f t="shared" si="61"/>
        <v>Service Contract</v>
      </c>
      <c r="J52" s="137">
        <v>0</v>
      </c>
      <c r="K52" s="139">
        <f t="shared" si="12"/>
        <v>0</v>
      </c>
      <c r="M52" s="138" t="str">
        <f t="shared" si="62"/>
        <v>Service Contract</v>
      </c>
      <c r="N52" s="137">
        <v>0</v>
      </c>
      <c r="O52" s="139">
        <f t="shared" si="13"/>
        <v>0</v>
      </c>
      <c r="Q52" s="138" t="str">
        <f t="shared" si="63"/>
        <v>Service Contract</v>
      </c>
      <c r="R52" s="137">
        <v>0</v>
      </c>
      <c r="S52" s="139">
        <f>R52/12</f>
        <v>0</v>
      </c>
      <c r="U52" s="138" t="str">
        <f t="shared" si="64"/>
        <v>Service Contract</v>
      </c>
      <c r="V52" s="137">
        <v>0</v>
      </c>
      <c r="W52" s="139">
        <f>V52/12</f>
        <v>0</v>
      </c>
      <c r="Y52" s="138" t="str">
        <f t="shared" si="65"/>
        <v>Service Contract</v>
      </c>
      <c r="Z52" s="137">
        <v>0</v>
      </c>
      <c r="AA52" s="139">
        <f>Z52/12</f>
        <v>0</v>
      </c>
      <c r="AC52" s="138" t="str">
        <f t="shared" si="66"/>
        <v>Service Contract</v>
      </c>
      <c r="AD52" s="137">
        <v>0</v>
      </c>
      <c r="AE52" s="139">
        <f>AD52/12</f>
        <v>0</v>
      </c>
      <c r="AF52" s="106"/>
      <c r="AG52" s="138" t="str">
        <f t="shared" si="67"/>
        <v>Service Contract</v>
      </c>
      <c r="AH52" s="137">
        <v>0</v>
      </c>
      <c r="AI52" s="139">
        <f t="shared" si="68"/>
        <v>0</v>
      </c>
      <c r="AJ52" s="147"/>
      <c r="AK52" s="249" t="str">
        <f t="shared" si="69"/>
        <v>Service Contract</v>
      </c>
      <c r="AL52" s="250">
        <f t="shared" si="70"/>
        <v>0</v>
      </c>
      <c r="AM52" s="250">
        <f t="shared" si="71"/>
        <v>0</v>
      </c>
    </row>
    <row r="53" spans="1:40" x14ac:dyDescent="0.3">
      <c r="A53" s="138" t="s">
        <v>191</v>
      </c>
      <c r="B53" s="137">
        <v>0</v>
      </c>
      <c r="C53" s="139">
        <f t="shared" si="10"/>
        <v>0</v>
      </c>
      <c r="D53" s="106"/>
      <c r="E53" s="138" t="str">
        <f t="shared" si="60"/>
        <v>Utilities</v>
      </c>
      <c r="F53" s="137">
        <v>0</v>
      </c>
      <c r="G53" s="139">
        <f t="shared" si="11"/>
        <v>0</v>
      </c>
      <c r="I53" s="138" t="str">
        <f t="shared" si="61"/>
        <v>Utilities</v>
      </c>
      <c r="J53" s="137">
        <v>0</v>
      </c>
      <c r="K53" s="139">
        <f t="shared" si="12"/>
        <v>0</v>
      </c>
      <c r="M53" s="138" t="str">
        <f t="shared" si="62"/>
        <v>Utilities</v>
      </c>
      <c r="N53" s="137">
        <v>0</v>
      </c>
      <c r="O53" s="139">
        <f t="shared" si="13"/>
        <v>0</v>
      </c>
      <c r="Q53" s="138" t="str">
        <f t="shared" si="63"/>
        <v>Utilities</v>
      </c>
      <c r="R53" s="137">
        <v>0</v>
      </c>
      <c r="S53" s="139">
        <f t="shared" si="14"/>
        <v>0</v>
      </c>
      <c r="U53" s="138" t="str">
        <f t="shared" si="64"/>
        <v>Utilities</v>
      </c>
      <c r="V53" s="137">
        <v>0</v>
      </c>
      <c r="W53" s="139">
        <f t="shared" ref="W53:W57" si="72">V53/12</f>
        <v>0</v>
      </c>
      <c r="Y53" s="138" t="str">
        <f t="shared" si="65"/>
        <v>Utilities</v>
      </c>
      <c r="Z53" s="137">
        <v>0</v>
      </c>
      <c r="AA53" s="139">
        <f t="shared" ref="AA53:AA57" si="73">Z53/12</f>
        <v>0</v>
      </c>
      <c r="AC53" s="138" t="str">
        <f t="shared" si="66"/>
        <v>Utilities</v>
      </c>
      <c r="AD53" s="137">
        <v>0</v>
      </c>
      <c r="AE53" s="139">
        <f t="shared" ref="AE53:AE57" si="74">AD53/12</f>
        <v>0</v>
      </c>
      <c r="AF53" s="106"/>
      <c r="AG53" s="138" t="str">
        <f t="shared" si="67"/>
        <v>Utilities</v>
      </c>
      <c r="AH53" s="137">
        <v>0</v>
      </c>
      <c r="AI53" s="139">
        <f t="shared" si="68"/>
        <v>0</v>
      </c>
      <c r="AJ53" s="147"/>
      <c r="AK53" s="249" t="str">
        <f t="shared" si="69"/>
        <v>Utilities</v>
      </c>
      <c r="AL53" s="250">
        <f t="shared" si="70"/>
        <v>0</v>
      </c>
      <c r="AM53" s="250">
        <f t="shared" si="71"/>
        <v>0</v>
      </c>
    </row>
    <row r="54" spans="1:40" x14ac:dyDescent="0.3">
      <c r="A54" s="317" t="s">
        <v>338</v>
      </c>
      <c r="B54" s="137">
        <v>0</v>
      </c>
      <c r="C54" s="139">
        <f t="shared" si="10"/>
        <v>0</v>
      </c>
      <c r="D54" s="106"/>
      <c r="E54" s="138" t="str">
        <f t="shared" si="60"/>
        <v>Leased Equipment</v>
      </c>
      <c r="F54" s="137">
        <v>0</v>
      </c>
      <c r="G54" s="139">
        <f t="shared" si="11"/>
        <v>0</v>
      </c>
      <c r="I54" s="138" t="str">
        <f t="shared" si="61"/>
        <v>Leased Equipment</v>
      </c>
      <c r="J54" s="137">
        <v>0</v>
      </c>
      <c r="K54" s="139">
        <f t="shared" si="12"/>
        <v>0</v>
      </c>
      <c r="M54" s="138" t="str">
        <f t="shared" si="62"/>
        <v>Leased Equipment</v>
      </c>
      <c r="N54" s="137">
        <v>0</v>
      </c>
      <c r="O54" s="139">
        <f t="shared" si="13"/>
        <v>0</v>
      </c>
      <c r="Q54" s="138" t="str">
        <f t="shared" si="63"/>
        <v>Leased Equipment</v>
      </c>
      <c r="R54" s="137">
        <v>0</v>
      </c>
      <c r="S54" s="139">
        <f t="shared" si="14"/>
        <v>0</v>
      </c>
      <c r="U54" s="138" t="str">
        <f t="shared" si="64"/>
        <v>Leased Equipment</v>
      </c>
      <c r="V54" s="137">
        <v>0</v>
      </c>
      <c r="W54" s="139">
        <f t="shared" si="72"/>
        <v>0</v>
      </c>
      <c r="Y54" s="138" t="str">
        <f t="shared" si="65"/>
        <v>Leased Equipment</v>
      </c>
      <c r="Z54" s="137">
        <v>0</v>
      </c>
      <c r="AA54" s="139">
        <f t="shared" si="73"/>
        <v>0</v>
      </c>
      <c r="AC54" s="138" t="str">
        <f t="shared" si="66"/>
        <v>Leased Equipment</v>
      </c>
      <c r="AD54" s="137">
        <v>0</v>
      </c>
      <c r="AE54" s="139">
        <f t="shared" si="74"/>
        <v>0</v>
      </c>
      <c r="AF54" s="106"/>
      <c r="AG54" s="138" t="str">
        <f t="shared" si="67"/>
        <v>Leased Equipment</v>
      </c>
      <c r="AH54" s="137">
        <v>0</v>
      </c>
      <c r="AI54" s="139">
        <f t="shared" si="68"/>
        <v>0</v>
      </c>
      <c r="AJ54" s="147"/>
      <c r="AK54" s="249" t="str">
        <f t="shared" si="69"/>
        <v>Leased Equipment</v>
      </c>
      <c r="AL54" s="250">
        <f>B54+F54+J54+N54+R54+V54+Z54+AD54+AH54</f>
        <v>0</v>
      </c>
      <c r="AM54" s="250">
        <f t="shared" si="71"/>
        <v>0</v>
      </c>
    </row>
    <row r="55" spans="1:40" x14ac:dyDescent="0.3">
      <c r="A55" s="317" t="s">
        <v>368</v>
      </c>
      <c r="B55" s="137">
        <v>0</v>
      </c>
      <c r="C55" s="139">
        <f t="shared" si="10"/>
        <v>0</v>
      </c>
      <c r="D55" s="106"/>
      <c r="E55" s="138" t="str">
        <f t="shared" si="60"/>
        <v>Unrelated Business Income Tax</v>
      </c>
      <c r="F55" s="137">
        <v>0</v>
      </c>
      <c r="G55" s="139">
        <f t="shared" si="11"/>
        <v>0</v>
      </c>
      <c r="I55" s="138" t="str">
        <f t="shared" si="61"/>
        <v>Unrelated Business Income Tax</v>
      </c>
      <c r="J55" s="137">
        <v>0</v>
      </c>
      <c r="K55" s="139"/>
      <c r="M55" s="138" t="str">
        <f t="shared" si="62"/>
        <v>Unrelated Business Income Tax</v>
      </c>
      <c r="N55" s="137">
        <v>0</v>
      </c>
      <c r="O55" s="139"/>
      <c r="Q55" s="138" t="str">
        <f t="shared" si="63"/>
        <v>Unrelated Business Income Tax</v>
      </c>
      <c r="R55" s="137">
        <v>0</v>
      </c>
      <c r="S55" s="139">
        <f t="shared" si="14"/>
        <v>0</v>
      </c>
      <c r="U55" s="138" t="str">
        <f t="shared" si="64"/>
        <v>Unrelated Business Income Tax</v>
      </c>
      <c r="V55" s="137">
        <v>0</v>
      </c>
      <c r="W55" s="139">
        <f t="shared" si="72"/>
        <v>0</v>
      </c>
      <c r="Y55" s="138" t="str">
        <f t="shared" si="65"/>
        <v>Unrelated Business Income Tax</v>
      </c>
      <c r="Z55" s="137">
        <v>0</v>
      </c>
      <c r="AA55" s="139">
        <f t="shared" si="73"/>
        <v>0</v>
      </c>
      <c r="AC55" s="138" t="str">
        <f t="shared" si="66"/>
        <v>Unrelated Business Income Tax</v>
      </c>
      <c r="AD55" s="137">
        <v>0</v>
      </c>
      <c r="AE55" s="139">
        <f t="shared" si="74"/>
        <v>0</v>
      </c>
      <c r="AF55" s="106"/>
      <c r="AG55" s="138" t="str">
        <f t="shared" si="67"/>
        <v>Unrelated Business Income Tax</v>
      </c>
      <c r="AH55" s="137">
        <v>0</v>
      </c>
      <c r="AI55" s="139">
        <f t="shared" si="68"/>
        <v>0</v>
      </c>
      <c r="AJ55" s="147"/>
      <c r="AK55" s="249" t="str">
        <f t="shared" si="69"/>
        <v>Unrelated Business Income Tax</v>
      </c>
      <c r="AL55" s="250">
        <f>B55+F55+J55+N55+R55+V55+Z55+AD55+AH55</f>
        <v>0</v>
      </c>
      <c r="AM55" s="250">
        <f t="shared" si="71"/>
        <v>0</v>
      </c>
    </row>
    <row r="56" spans="1:40" x14ac:dyDescent="0.3">
      <c r="A56" s="319" t="s">
        <v>367</v>
      </c>
      <c r="B56" s="196">
        <v>0</v>
      </c>
      <c r="C56" s="197">
        <f t="shared" si="10"/>
        <v>0</v>
      </c>
      <c r="D56" s="106"/>
      <c r="E56" s="138" t="str">
        <f t="shared" si="60"/>
        <v>Cost of Services Provided by 21 Acct</v>
      </c>
      <c r="F56" s="196">
        <v>0</v>
      </c>
      <c r="G56" s="197">
        <f t="shared" si="11"/>
        <v>0</v>
      </c>
      <c r="I56" s="138" t="str">
        <f t="shared" si="61"/>
        <v>Cost of Services Provided by 21 Acct</v>
      </c>
      <c r="J56" s="196">
        <v>0</v>
      </c>
      <c r="K56" s="197">
        <f t="shared" si="12"/>
        <v>0</v>
      </c>
      <c r="M56" s="138" t="str">
        <f t="shared" si="62"/>
        <v>Cost of Services Provided by 21 Acct</v>
      </c>
      <c r="N56" s="196">
        <v>0</v>
      </c>
      <c r="O56" s="197">
        <f t="shared" si="13"/>
        <v>0</v>
      </c>
      <c r="Q56" s="138" t="str">
        <f t="shared" si="63"/>
        <v>Cost of Services Provided by 21 Acct</v>
      </c>
      <c r="R56" s="196">
        <v>0</v>
      </c>
      <c r="S56" s="197">
        <f t="shared" si="14"/>
        <v>0</v>
      </c>
      <c r="U56" s="138" t="str">
        <f t="shared" si="64"/>
        <v>Cost of Services Provided by 21 Acct</v>
      </c>
      <c r="V56" s="196">
        <v>0</v>
      </c>
      <c r="W56" s="197">
        <f t="shared" si="72"/>
        <v>0</v>
      </c>
      <c r="Y56" s="138" t="str">
        <f t="shared" si="65"/>
        <v>Cost of Services Provided by 21 Acct</v>
      </c>
      <c r="Z56" s="196">
        <v>0</v>
      </c>
      <c r="AA56" s="197">
        <f t="shared" si="73"/>
        <v>0</v>
      </c>
      <c r="AC56" s="138" t="str">
        <f t="shared" si="66"/>
        <v>Cost of Services Provided by 21 Acct</v>
      </c>
      <c r="AD56" s="196">
        <v>0</v>
      </c>
      <c r="AE56" s="197">
        <f t="shared" si="74"/>
        <v>0</v>
      </c>
      <c r="AF56" s="113"/>
      <c r="AG56" s="138" t="str">
        <f t="shared" si="67"/>
        <v>Cost of Services Provided by 21 Acct</v>
      </c>
      <c r="AH56" s="196">
        <v>0</v>
      </c>
      <c r="AI56" s="139">
        <f t="shared" si="68"/>
        <v>0</v>
      </c>
      <c r="AJ56" s="147"/>
      <c r="AK56" s="249" t="str">
        <f t="shared" si="69"/>
        <v>Cost of Services Provided by 21 Acct</v>
      </c>
      <c r="AL56" s="251">
        <f>B56+F56+J56+N56+R56+V56+Z56+AD56+AH56</f>
        <v>0</v>
      </c>
      <c r="AM56" s="250">
        <f t="shared" si="71"/>
        <v>0</v>
      </c>
    </row>
    <row r="57" spans="1:40" ht="15" thickBot="1" x14ac:dyDescent="0.35">
      <c r="A57" s="145" t="s">
        <v>192</v>
      </c>
      <c r="B57" s="142">
        <f>B20+B21+B34+B35+B47</f>
        <v>0</v>
      </c>
      <c r="C57" s="142">
        <f t="shared" si="10"/>
        <v>0</v>
      </c>
      <c r="D57" s="105"/>
      <c r="E57" s="145" t="s">
        <v>192</v>
      </c>
      <c r="F57" s="142">
        <f>F20+F21+F34+F35+F47</f>
        <v>0</v>
      </c>
      <c r="G57" s="142">
        <f t="shared" si="11"/>
        <v>0</v>
      </c>
      <c r="I57" s="145" t="s">
        <v>192</v>
      </c>
      <c r="J57" s="142">
        <f>J20+J21+J34+J35+J47</f>
        <v>0</v>
      </c>
      <c r="K57" s="142">
        <f t="shared" si="12"/>
        <v>0</v>
      </c>
      <c r="M57" s="145" t="s">
        <v>192</v>
      </c>
      <c r="N57" s="142">
        <f>N20+N21+N34+N35+N47</f>
        <v>0</v>
      </c>
      <c r="O57" s="142">
        <f t="shared" si="13"/>
        <v>0</v>
      </c>
      <c r="Q57" s="145" t="s">
        <v>192</v>
      </c>
      <c r="R57" s="142">
        <f>R20+R21+R34+R35+R47</f>
        <v>0</v>
      </c>
      <c r="S57" s="142">
        <f t="shared" si="14"/>
        <v>0</v>
      </c>
      <c r="U57" s="145" t="s">
        <v>192</v>
      </c>
      <c r="V57" s="142">
        <f>V20+V21+V34+V35+V47</f>
        <v>0</v>
      </c>
      <c r="W57" s="142">
        <f t="shared" si="72"/>
        <v>0</v>
      </c>
      <c r="Y57" s="145" t="s">
        <v>192</v>
      </c>
      <c r="Z57" s="142">
        <f>Z20+Z21+Z34+Z35+Z47</f>
        <v>0</v>
      </c>
      <c r="AA57" s="142">
        <f t="shared" si="73"/>
        <v>0</v>
      </c>
      <c r="AC57" s="145" t="s">
        <v>192</v>
      </c>
      <c r="AD57" s="142">
        <f>AD20+AD21+AD34+AD35+AD47</f>
        <v>0</v>
      </c>
      <c r="AE57" s="142">
        <f t="shared" si="74"/>
        <v>0</v>
      </c>
      <c r="AF57" s="216"/>
      <c r="AG57" s="145" t="s">
        <v>192</v>
      </c>
      <c r="AH57" s="142">
        <f>AH20+AH21+AH34+AH35+AH47</f>
        <v>0</v>
      </c>
      <c r="AI57" s="201">
        <f>+AH57/12</f>
        <v>0</v>
      </c>
      <c r="AJ57" s="147"/>
      <c r="AK57" s="252" t="s">
        <v>192</v>
      </c>
      <c r="AL57" s="253">
        <f>AL20+AL21+AL34+AL35+AL47</f>
        <v>0</v>
      </c>
      <c r="AM57" s="217">
        <f>AL57/12</f>
        <v>0</v>
      </c>
    </row>
    <row r="58" spans="1:40" ht="15" thickTop="1" x14ac:dyDescent="0.3">
      <c r="A58" s="231" t="s">
        <v>343</v>
      </c>
      <c r="B58" s="137">
        <f>+B57*0</f>
        <v>0</v>
      </c>
      <c r="C58" s="139">
        <f>+B58/12</f>
        <v>0</v>
      </c>
      <c r="D58" s="108"/>
      <c r="E58" s="231" t="s">
        <v>343</v>
      </c>
      <c r="F58" s="137">
        <f>+F57*0</f>
        <v>0</v>
      </c>
      <c r="G58" s="139">
        <f>+F58/12</f>
        <v>0</v>
      </c>
      <c r="I58" s="231" t="s">
        <v>343</v>
      </c>
      <c r="J58" s="137">
        <f>+J57*0</f>
        <v>0</v>
      </c>
      <c r="K58" s="139">
        <f>+J58/12</f>
        <v>0</v>
      </c>
      <c r="M58" s="231" t="s">
        <v>343</v>
      </c>
      <c r="N58" s="137">
        <f>+N57*0</f>
        <v>0</v>
      </c>
      <c r="O58" s="139">
        <f>+N58/12</f>
        <v>0</v>
      </c>
      <c r="Q58" s="231" t="s">
        <v>343</v>
      </c>
      <c r="R58" s="137">
        <f>+R57*0</f>
        <v>0</v>
      </c>
      <c r="S58" s="139">
        <f>+R58/12</f>
        <v>0</v>
      </c>
      <c r="U58" s="231" t="s">
        <v>343</v>
      </c>
      <c r="V58" s="137">
        <f>+V57*0</f>
        <v>0</v>
      </c>
      <c r="W58" s="139">
        <f>+V58/12</f>
        <v>0</v>
      </c>
      <c r="Y58" s="231" t="s">
        <v>343</v>
      </c>
      <c r="Z58" s="137">
        <f>+Z57*0</f>
        <v>0</v>
      </c>
      <c r="AA58" s="139">
        <f>+Z58/12</f>
        <v>0</v>
      </c>
      <c r="AC58" s="231" t="s">
        <v>343</v>
      </c>
      <c r="AD58" s="137">
        <f>+AD57*0</f>
        <v>0</v>
      </c>
      <c r="AE58" s="139">
        <f>+AD58/12</f>
        <v>0</v>
      </c>
      <c r="AF58" s="106"/>
      <c r="AG58" s="231" t="s">
        <v>343</v>
      </c>
      <c r="AH58" s="137">
        <f>+AH57*0</f>
        <v>0</v>
      </c>
      <c r="AI58" s="139">
        <f>+AH58/12</f>
        <v>0</v>
      </c>
      <c r="AJ58" s="147"/>
      <c r="AK58" s="231" t="s">
        <v>343</v>
      </c>
      <c r="AL58" s="261">
        <f>+AL57*0</f>
        <v>0</v>
      </c>
      <c r="AM58" s="261">
        <f>+AL58/12</f>
        <v>0</v>
      </c>
      <c r="AN58" s="193" t="s">
        <v>327</v>
      </c>
    </row>
    <row r="59" spans="1:40" x14ac:dyDescent="0.3">
      <c r="A59" s="264" t="s">
        <v>255</v>
      </c>
      <c r="B59" s="197">
        <f>+(B57-B50-B53-B54-B20)*0.225</f>
        <v>0</v>
      </c>
      <c r="C59" s="197">
        <f>+B59/12</f>
        <v>0</v>
      </c>
      <c r="D59" s="108"/>
      <c r="E59" s="264" t="s">
        <v>255</v>
      </c>
      <c r="F59" s="197">
        <f>+(F57-F50-F53-F54-F20)*0.225</f>
        <v>0</v>
      </c>
      <c r="G59" s="197">
        <f>+F59/12</f>
        <v>0</v>
      </c>
      <c r="I59" s="264" t="s">
        <v>255</v>
      </c>
      <c r="J59" s="197">
        <f>+(J57-J50-J53-J54-J20)*0.225</f>
        <v>0</v>
      </c>
      <c r="K59" s="197">
        <f>+J59/12</f>
        <v>0</v>
      </c>
      <c r="M59" s="264" t="s">
        <v>255</v>
      </c>
      <c r="N59" s="197">
        <f>+(N57-N50-N53-N54-N20)*0.225</f>
        <v>0</v>
      </c>
      <c r="O59" s="197">
        <f>+N59/12</f>
        <v>0</v>
      </c>
      <c r="Q59" s="264" t="s">
        <v>255</v>
      </c>
      <c r="R59" s="197">
        <f>+(R57-R50-R53-R54-R20)*0.225</f>
        <v>0</v>
      </c>
      <c r="S59" s="197">
        <f>+R59/12</f>
        <v>0</v>
      </c>
      <c r="U59" s="264" t="s">
        <v>255</v>
      </c>
      <c r="V59" s="197">
        <f>+(V57-V50-V53-V54-V20)*0.225</f>
        <v>0</v>
      </c>
      <c r="W59" s="197">
        <f>+V59/12</f>
        <v>0</v>
      </c>
      <c r="Y59" s="264" t="s">
        <v>255</v>
      </c>
      <c r="Z59" s="197">
        <f>+(Z57-Z50-Z53-Z54-Z20)*0.225</f>
        <v>0</v>
      </c>
      <c r="AA59" s="197">
        <f>+Z59/12</f>
        <v>0</v>
      </c>
      <c r="AC59" s="264" t="s">
        <v>255</v>
      </c>
      <c r="AD59" s="197">
        <f>+(AD57-AD50-AD53-AD54-AD20)*0.225</f>
        <v>0</v>
      </c>
      <c r="AE59" s="197">
        <f>+AD59/12</f>
        <v>0</v>
      </c>
      <c r="AF59" s="113"/>
      <c r="AG59" s="264" t="s">
        <v>255</v>
      </c>
      <c r="AH59" s="197">
        <f>+(AH57-AH50-AH53-AH54-AH20)*0.225</f>
        <v>0</v>
      </c>
      <c r="AI59" s="197">
        <f>+AH59/12</f>
        <v>0</v>
      </c>
      <c r="AJ59" s="147"/>
      <c r="AK59" s="222" t="s">
        <v>255</v>
      </c>
      <c r="AL59" s="251">
        <f>+(AL57-AL50-AL53-AL54-AL20)*0.225</f>
        <v>0</v>
      </c>
      <c r="AM59" s="251">
        <f>+AL59/12</f>
        <v>0</v>
      </c>
    </row>
    <row r="60" spans="1:40" ht="15" thickBot="1" x14ac:dyDescent="0.35">
      <c r="A60" s="264" t="s">
        <v>339</v>
      </c>
      <c r="B60" s="201">
        <f>+B57+B58+B59</f>
        <v>0</v>
      </c>
      <c r="C60" s="201">
        <f>+C57+C58+C59</f>
        <v>0</v>
      </c>
      <c r="D60" s="108"/>
      <c r="E60" s="264"/>
      <c r="F60" s="201">
        <f>+F57+F58+F59</f>
        <v>0</v>
      </c>
      <c r="G60" s="201">
        <f>+G57+G58+G59</f>
        <v>0</v>
      </c>
      <c r="I60" s="264"/>
      <c r="J60" s="201">
        <f>+J57+J58+J59</f>
        <v>0</v>
      </c>
      <c r="K60" s="201">
        <f>+K57+K58+K59</f>
        <v>0</v>
      </c>
      <c r="M60" s="264"/>
      <c r="N60" s="201">
        <f>+N57+N58+N59</f>
        <v>0</v>
      </c>
      <c r="O60" s="201">
        <f>+O57+O58+O59</f>
        <v>0</v>
      </c>
      <c r="Q60" s="264"/>
      <c r="R60" s="201">
        <f>+R57+R58+R59</f>
        <v>0</v>
      </c>
      <c r="S60" s="201">
        <f>+S57+S58+S59</f>
        <v>0</v>
      </c>
      <c r="U60" s="264"/>
      <c r="V60" s="201">
        <f>+V57+V58+V59</f>
        <v>0</v>
      </c>
      <c r="W60" s="201">
        <f>+W57+W58+W59</f>
        <v>0</v>
      </c>
      <c r="Y60" s="264"/>
      <c r="Z60" s="201">
        <f>+Z57+Z58+Z59</f>
        <v>0</v>
      </c>
      <c r="AA60" s="201">
        <f>+AA57+AA58+AA59</f>
        <v>0</v>
      </c>
      <c r="AC60" s="264"/>
      <c r="AD60" s="201">
        <f>+AD57+AD58+AD59</f>
        <v>0</v>
      </c>
      <c r="AE60" s="201">
        <f>+AE57+AE58+AE59</f>
        <v>0</v>
      </c>
      <c r="AF60" s="216"/>
      <c r="AG60" s="264"/>
      <c r="AH60" s="201">
        <f>SUM(AH57:AH59)</f>
        <v>0</v>
      </c>
      <c r="AI60" s="201">
        <f>SUM(AI57:AI59)</f>
        <v>0</v>
      </c>
      <c r="AJ60" s="147"/>
      <c r="AK60" s="260"/>
      <c r="AL60" s="217">
        <f>+AL57+AL58+AL59</f>
        <v>0</v>
      </c>
      <c r="AM60" s="217">
        <f>+AM57+AM58+AM59</f>
        <v>0</v>
      </c>
    </row>
    <row r="61" spans="1:40" ht="15" thickTop="1" x14ac:dyDescent="0.3">
      <c r="A61" s="264" t="s">
        <v>273</v>
      </c>
      <c r="B61" s="262">
        <f>+B17</f>
        <v>0</v>
      </c>
      <c r="C61" s="262">
        <f>+C17</f>
        <v>0</v>
      </c>
      <c r="D61" s="108"/>
      <c r="E61" s="264" t="s">
        <v>273</v>
      </c>
      <c r="F61" s="262">
        <f>+F17</f>
        <v>0</v>
      </c>
      <c r="G61" s="262">
        <f>+G17</f>
        <v>0</v>
      </c>
      <c r="I61" s="264" t="s">
        <v>273</v>
      </c>
      <c r="J61" s="262">
        <f>+J17</f>
        <v>0</v>
      </c>
      <c r="K61" s="262">
        <f>+K17</f>
        <v>0</v>
      </c>
      <c r="M61" s="264" t="s">
        <v>273</v>
      </c>
      <c r="N61" s="262">
        <f>+N17</f>
        <v>0</v>
      </c>
      <c r="O61" s="262">
        <f>+O17</f>
        <v>0</v>
      </c>
      <c r="Q61" s="264" t="s">
        <v>273</v>
      </c>
      <c r="R61" s="262">
        <f>+R17</f>
        <v>0</v>
      </c>
      <c r="S61" s="262">
        <f>+S17</f>
        <v>0</v>
      </c>
      <c r="U61" s="264" t="s">
        <v>273</v>
      </c>
      <c r="V61" s="262">
        <f>+V17</f>
        <v>0</v>
      </c>
      <c r="W61" s="262">
        <f>+W17</f>
        <v>0</v>
      </c>
      <c r="Y61" s="264" t="s">
        <v>273</v>
      </c>
      <c r="Z61" s="262">
        <f>+Z17</f>
        <v>0</v>
      </c>
      <c r="AA61" s="262">
        <f>+AA17</f>
        <v>0</v>
      </c>
      <c r="AC61" s="264" t="s">
        <v>273</v>
      </c>
      <c r="AD61" s="262">
        <f>+AD17</f>
        <v>0</v>
      </c>
      <c r="AE61" s="262">
        <f>+AE17</f>
        <v>0</v>
      </c>
      <c r="AF61" s="216"/>
      <c r="AG61" s="264" t="s">
        <v>273</v>
      </c>
      <c r="AH61" s="262">
        <f>+AH17</f>
        <v>0</v>
      </c>
      <c r="AI61" s="262">
        <f>+AI17</f>
        <v>0</v>
      </c>
      <c r="AJ61" s="147"/>
      <c r="AK61" s="222" t="s">
        <v>273</v>
      </c>
      <c r="AL61" s="220">
        <f>+AL17</f>
        <v>0</v>
      </c>
      <c r="AM61" s="220">
        <f>+AM17</f>
        <v>0</v>
      </c>
    </row>
    <row r="62" spans="1:40" ht="15" thickBot="1" x14ac:dyDescent="0.35">
      <c r="A62" s="264" t="s">
        <v>230</v>
      </c>
      <c r="B62" s="263">
        <f>+B61-B60</f>
        <v>0</v>
      </c>
      <c r="C62" s="263">
        <f>+C61-C60</f>
        <v>0</v>
      </c>
      <c r="D62" s="108"/>
      <c r="E62" s="264" t="s">
        <v>230</v>
      </c>
      <c r="F62" s="263">
        <f>+F61-F60</f>
        <v>0</v>
      </c>
      <c r="G62" s="263">
        <f>+G61-G60</f>
        <v>0</v>
      </c>
      <c r="I62" s="264" t="s">
        <v>230</v>
      </c>
      <c r="J62" s="263">
        <f>+J61-J60</f>
        <v>0</v>
      </c>
      <c r="K62" s="263">
        <f>+K61-K60</f>
        <v>0</v>
      </c>
      <c r="M62" s="264" t="s">
        <v>230</v>
      </c>
      <c r="N62" s="263">
        <f>+N61-N60</f>
        <v>0</v>
      </c>
      <c r="O62" s="263">
        <f>+O61-O60</f>
        <v>0</v>
      </c>
      <c r="Q62" s="264" t="s">
        <v>230</v>
      </c>
      <c r="R62" s="263">
        <f>+R61-R60</f>
        <v>0</v>
      </c>
      <c r="S62" s="263">
        <f>+S61-S60</f>
        <v>0</v>
      </c>
      <c r="U62" s="264" t="s">
        <v>230</v>
      </c>
      <c r="V62" s="263">
        <f>+V61-V60</f>
        <v>0</v>
      </c>
      <c r="W62" s="263">
        <f>+W61-W60</f>
        <v>0</v>
      </c>
      <c r="Y62" s="264" t="s">
        <v>230</v>
      </c>
      <c r="Z62" s="263">
        <f>+Z61-Z60</f>
        <v>0</v>
      </c>
      <c r="AA62" s="263">
        <f>+AA61-AA60</f>
        <v>0</v>
      </c>
      <c r="AC62" s="264" t="s">
        <v>230</v>
      </c>
      <c r="AD62" s="263">
        <f>+AD61-AD60</f>
        <v>0</v>
      </c>
      <c r="AE62" s="263">
        <f>+AE61-AE60</f>
        <v>0</v>
      </c>
      <c r="AF62" s="216"/>
      <c r="AG62" s="264" t="s">
        <v>230</v>
      </c>
      <c r="AH62" s="263">
        <f>+AH61-AH60</f>
        <v>0</v>
      </c>
      <c r="AI62" s="263">
        <f>+AI61-AI60</f>
        <v>0</v>
      </c>
      <c r="AJ62" s="147"/>
      <c r="AK62" s="222" t="s">
        <v>230</v>
      </c>
      <c r="AL62" s="221">
        <f>+AL61-AL60</f>
        <v>0</v>
      </c>
      <c r="AM62" s="221">
        <f>+AM61-AM60</f>
        <v>0</v>
      </c>
    </row>
    <row r="63" spans="1:40" ht="15" thickTop="1" x14ac:dyDescent="0.3">
      <c r="A63" s="107" t="s">
        <v>342</v>
      </c>
      <c r="B63" s="108"/>
      <c r="C63" s="108"/>
      <c r="D63" s="108"/>
      <c r="E63" s="109"/>
      <c r="F63" s="108"/>
      <c r="G63" s="108"/>
      <c r="I63" s="109"/>
      <c r="J63" s="108"/>
      <c r="K63" s="108"/>
      <c r="M63" s="109"/>
      <c r="N63" s="108"/>
      <c r="O63" s="108"/>
      <c r="Q63" s="109"/>
      <c r="R63" s="108"/>
      <c r="S63" s="108"/>
      <c r="U63" s="109"/>
      <c r="V63" s="108"/>
      <c r="W63" s="108"/>
      <c r="Y63" s="109"/>
      <c r="Z63" s="108"/>
      <c r="AA63" s="108"/>
      <c r="AC63" s="109"/>
      <c r="AD63" s="108"/>
      <c r="AE63" s="108"/>
      <c r="AF63" s="108"/>
      <c r="AG63" s="109"/>
      <c r="AH63" s="108"/>
      <c r="AI63" s="108"/>
      <c r="AJ63" s="147"/>
    </row>
    <row r="64" spans="1:40" x14ac:dyDescent="0.3">
      <c r="A64" s="109"/>
      <c r="B64" s="108"/>
      <c r="C64" s="108"/>
      <c r="D64" s="108"/>
      <c r="E64" s="109"/>
      <c r="F64" s="108"/>
      <c r="G64" s="108"/>
      <c r="I64" s="109"/>
      <c r="J64" s="108"/>
      <c r="K64" s="108"/>
      <c r="M64" s="109"/>
      <c r="N64" s="108"/>
      <c r="O64" s="108"/>
      <c r="Q64" s="109"/>
      <c r="R64" s="108"/>
      <c r="S64" s="108"/>
      <c r="U64" s="109"/>
      <c r="V64" s="108"/>
      <c r="W64" s="108"/>
      <c r="Y64" s="109"/>
      <c r="Z64" s="108"/>
      <c r="AA64" s="108"/>
      <c r="AC64" s="109"/>
      <c r="AD64" s="108"/>
      <c r="AE64" s="108"/>
      <c r="AF64" s="108"/>
      <c r="AG64" s="109"/>
      <c r="AH64" s="108"/>
      <c r="AI64" s="108"/>
      <c r="AJ64" s="147"/>
    </row>
    <row r="65" spans="1:39" x14ac:dyDescent="0.3">
      <c r="A65" s="320" t="s">
        <v>340</v>
      </c>
      <c r="B65" s="108"/>
      <c r="C65" s="108"/>
      <c r="D65" s="108"/>
      <c r="E65" s="320" t="s">
        <v>340</v>
      </c>
      <c r="F65" s="108"/>
      <c r="G65" s="108"/>
      <c r="I65" s="320" t="s">
        <v>340</v>
      </c>
      <c r="J65" s="108"/>
      <c r="K65" s="108"/>
      <c r="M65" s="320" t="s">
        <v>340</v>
      </c>
      <c r="N65" s="108"/>
      <c r="O65" s="108"/>
      <c r="Q65" s="320" t="s">
        <v>340</v>
      </c>
      <c r="R65" s="108"/>
      <c r="S65" s="108"/>
      <c r="U65" s="320" t="s">
        <v>340</v>
      </c>
      <c r="V65" s="108"/>
      <c r="W65" s="108"/>
      <c r="Y65" s="320" t="s">
        <v>340</v>
      </c>
      <c r="Z65" s="108"/>
      <c r="AA65" s="108"/>
      <c r="AC65" s="320" t="s">
        <v>340</v>
      </c>
      <c r="AD65" s="108"/>
      <c r="AE65" s="108"/>
      <c r="AF65" s="108"/>
      <c r="AG65" s="320" t="s">
        <v>340</v>
      </c>
      <c r="AH65" s="108"/>
      <c r="AI65" s="108"/>
      <c r="AJ65" s="147"/>
    </row>
    <row r="66" spans="1:39" x14ac:dyDescent="0.3">
      <c r="A66" s="231" t="s">
        <v>304</v>
      </c>
      <c r="B66" s="123">
        <v>1</v>
      </c>
      <c r="C66" s="108"/>
      <c r="D66" s="108"/>
      <c r="E66" s="231" t="s">
        <v>304</v>
      </c>
      <c r="F66" s="123">
        <v>1</v>
      </c>
      <c r="G66" s="108"/>
      <c r="I66" s="231" t="s">
        <v>304</v>
      </c>
      <c r="J66" s="123">
        <v>1</v>
      </c>
      <c r="K66" s="108"/>
      <c r="M66" s="231" t="s">
        <v>304</v>
      </c>
      <c r="N66" s="123">
        <v>1</v>
      </c>
      <c r="O66" s="108"/>
      <c r="Q66" s="231" t="s">
        <v>304</v>
      </c>
      <c r="R66" s="123">
        <v>1</v>
      </c>
      <c r="S66" s="108"/>
      <c r="U66" s="231" t="s">
        <v>304</v>
      </c>
      <c r="V66" s="123">
        <v>1</v>
      </c>
      <c r="W66" s="108"/>
      <c r="Y66" s="231" t="s">
        <v>304</v>
      </c>
      <c r="Z66" s="123">
        <v>1</v>
      </c>
      <c r="AA66" s="108"/>
      <c r="AC66" s="231" t="s">
        <v>304</v>
      </c>
      <c r="AD66" s="123">
        <v>1</v>
      </c>
      <c r="AE66" s="108"/>
      <c r="AF66" s="108"/>
      <c r="AG66" s="231" t="s">
        <v>304</v>
      </c>
      <c r="AH66" s="123">
        <v>1</v>
      </c>
      <c r="AI66" s="108"/>
      <c r="AJ66" s="147"/>
      <c r="AK66" s="107"/>
      <c r="AL66" s="229"/>
    </row>
    <row r="67" spans="1:39" x14ac:dyDescent="0.3">
      <c r="A67" s="264" t="s">
        <v>305</v>
      </c>
      <c r="B67" s="124">
        <f>C60/B66</f>
        <v>0</v>
      </c>
      <c r="C67" s="136"/>
      <c r="D67" s="108"/>
      <c r="E67" s="264" t="s">
        <v>305</v>
      </c>
      <c r="F67" s="124">
        <f>G60/F66</f>
        <v>0</v>
      </c>
      <c r="G67" s="136"/>
      <c r="H67" s="110"/>
      <c r="I67" s="264" t="s">
        <v>305</v>
      </c>
      <c r="J67" s="124">
        <f>K60/J66</f>
        <v>0</v>
      </c>
      <c r="K67" s="136"/>
      <c r="M67" s="264" t="s">
        <v>305</v>
      </c>
      <c r="N67" s="124">
        <f>O60/N66</f>
        <v>0</v>
      </c>
      <c r="O67" s="136"/>
      <c r="Q67" s="264" t="s">
        <v>305</v>
      </c>
      <c r="R67" s="124">
        <f>S60/R66</f>
        <v>0</v>
      </c>
      <c r="S67" s="136"/>
      <c r="U67" s="264" t="s">
        <v>305</v>
      </c>
      <c r="V67" s="124">
        <f>W60/V66</f>
        <v>0</v>
      </c>
      <c r="W67" s="136"/>
      <c r="Y67" s="264" t="s">
        <v>305</v>
      </c>
      <c r="Z67" s="124">
        <f>AA60/Z66</f>
        <v>0</v>
      </c>
      <c r="AA67" s="136"/>
      <c r="AC67" s="264" t="s">
        <v>305</v>
      </c>
      <c r="AD67" s="124">
        <f>AE60/AD66</f>
        <v>0</v>
      </c>
      <c r="AE67" s="136"/>
      <c r="AF67" s="136"/>
      <c r="AG67" s="264" t="s">
        <v>305</v>
      </c>
      <c r="AH67" s="124">
        <f>AI60/AH66</f>
        <v>0</v>
      </c>
      <c r="AI67" s="136"/>
      <c r="AJ67" s="147"/>
      <c r="AK67" s="107"/>
    </row>
    <row r="68" spans="1:39" x14ac:dyDescent="0.3">
      <c r="A68" s="231" t="s">
        <v>341</v>
      </c>
      <c r="B68" s="232">
        <f>+B67*0</f>
        <v>0</v>
      </c>
      <c r="C68" s="136"/>
      <c r="D68" s="108"/>
      <c r="E68" s="231" t="s">
        <v>341</v>
      </c>
      <c r="F68" s="232">
        <f>+F67*0</f>
        <v>0</v>
      </c>
      <c r="G68" s="136"/>
      <c r="H68" s="110"/>
      <c r="I68" s="231" t="s">
        <v>341</v>
      </c>
      <c r="J68" s="232">
        <f>+J67*0</f>
        <v>0</v>
      </c>
      <c r="K68" s="136"/>
      <c r="M68" s="231" t="s">
        <v>341</v>
      </c>
      <c r="N68" s="232">
        <f>+N67*0</f>
        <v>0</v>
      </c>
      <c r="O68" s="136"/>
      <c r="Q68" s="231" t="s">
        <v>341</v>
      </c>
      <c r="R68" s="232">
        <f>+R67*0</f>
        <v>0</v>
      </c>
      <c r="S68" s="136"/>
      <c r="U68" s="231" t="s">
        <v>341</v>
      </c>
      <c r="V68" s="232">
        <f>+V67*0</f>
        <v>0</v>
      </c>
      <c r="W68" s="136"/>
      <c r="Y68" s="231" t="s">
        <v>341</v>
      </c>
      <c r="Z68" s="232">
        <f>+Z67*0</f>
        <v>0</v>
      </c>
      <c r="AA68" s="136"/>
      <c r="AC68" s="231" t="s">
        <v>341</v>
      </c>
      <c r="AD68" s="232">
        <f>+AD67*0</f>
        <v>0</v>
      </c>
      <c r="AE68" s="136"/>
      <c r="AF68" s="136"/>
      <c r="AG68" s="231" t="s">
        <v>341</v>
      </c>
      <c r="AH68" s="232">
        <f>+AH67*0</f>
        <v>0</v>
      </c>
      <c r="AI68" s="136"/>
      <c r="AJ68" s="147"/>
      <c r="AK68" s="193" t="s">
        <v>326</v>
      </c>
      <c r="AL68" s="228"/>
      <c r="AM68" s="227"/>
    </row>
    <row r="69" spans="1:39" x14ac:dyDescent="0.3">
      <c r="A69" s="264" t="s">
        <v>306</v>
      </c>
      <c r="B69" s="124">
        <f>SUM(B67:B68)</f>
        <v>0</v>
      </c>
      <c r="C69" s="136"/>
      <c r="D69" s="108"/>
      <c r="E69" s="264" t="s">
        <v>306</v>
      </c>
      <c r="F69" s="124">
        <f>SUM(F67:F68)</f>
        <v>0</v>
      </c>
      <c r="G69" s="136"/>
      <c r="H69" s="110"/>
      <c r="I69" s="264" t="s">
        <v>306</v>
      </c>
      <c r="J69" s="124">
        <f>SUM(J67:J68)</f>
        <v>0</v>
      </c>
      <c r="K69" s="136"/>
      <c r="M69" s="264" t="s">
        <v>306</v>
      </c>
      <c r="N69" s="124">
        <f>SUM(N67:N68)</f>
        <v>0</v>
      </c>
      <c r="O69" s="136"/>
      <c r="Q69" s="264" t="s">
        <v>306</v>
      </c>
      <c r="R69" s="124">
        <f>SUM(R67:R68)</f>
        <v>0</v>
      </c>
      <c r="S69" s="136"/>
      <c r="U69" s="264" t="s">
        <v>306</v>
      </c>
      <c r="V69" s="124">
        <f>SUM(V67:V68)</f>
        <v>0</v>
      </c>
      <c r="W69" s="136"/>
      <c r="Y69" s="264" t="s">
        <v>306</v>
      </c>
      <c r="Z69" s="124">
        <f>SUM(Z67:Z68)</f>
        <v>0</v>
      </c>
      <c r="AA69" s="136"/>
      <c r="AC69" s="264" t="s">
        <v>306</v>
      </c>
      <c r="AD69" s="124">
        <f>SUM(AD67:AD68)</f>
        <v>0</v>
      </c>
      <c r="AE69" s="136"/>
      <c r="AF69" s="136"/>
      <c r="AG69" s="264" t="s">
        <v>306</v>
      </c>
      <c r="AH69" s="124">
        <f>SUM(AH67:AH68)</f>
        <v>0</v>
      </c>
      <c r="AI69" s="136"/>
      <c r="AJ69" s="147"/>
      <c r="AK69" s="107"/>
      <c r="AL69" s="228"/>
    </row>
    <row r="70" spans="1:39" x14ac:dyDescent="0.3">
      <c r="A70" s="233" t="s">
        <v>193</v>
      </c>
      <c r="B70" s="204">
        <v>12</v>
      </c>
      <c r="C70" s="108"/>
      <c r="D70" s="108"/>
      <c r="E70" s="233" t="s">
        <v>193</v>
      </c>
      <c r="F70" s="204">
        <v>12</v>
      </c>
      <c r="G70" s="108"/>
      <c r="I70" s="233" t="s">
        <v>193</v>
      </c>
      <c r="J70" s="204">
        <v>12</v>
      </c>
      <c r="K70" s="108"/>
      <c r="M70" s="233" t="s">
        <v>193</v>
      </c>
      <c r="N70" s="204">
        <v>12</v>
      </c>
      <c r="O70" s="108"/>
      <c r="Q70" s="233" t="s">
        <v>193</v>
      </c>
      <c r="R70" s="204">
        <v>12</v>
      </c>
      <c r="S70" s="108"/>
      <c r="U70" s="233" t="s">
        <v>193</v>
      </c>
      <c r="V70" s="204">
        <v>12</v>
      </c>
      <c r="W70" s="108"/>
      <c r="Y70" s="233" t="s">
        <v>193</v>
      </c>
      <c r="Z70" s="204">
        <v>12</v>
      </c>
      <c r="AA70" s="108"/>
      <c r="AC70" s="233" t="s">
        <v>193</v>
      </c>
      <c r="AD70" s="204">
        <v>12</v>
      </c>
      <c r="AE70" s="108"/>
      <c r="AF70" s="108"/>
      <c r="AG70" s="233" t="s">
        <v>193</v>
      </c>
      <c r="AH70" s="204">
        <v>12</v>
      </c>
      <c r="AI70" s="108"/>
      <c r="AJ70" s="147"/>
      <c r="AK70" s="109"/>
    </row>
    <row r="71" spans="1:39" x14ac:dyDescent="0.3">
      <c r="J71" s="115"/>
      <c r="AJ71" s="147"/>
    </row>
    <row r="72" spans="1:39" ht="43.2" x14ac:dyDescent="0.3">
      <c r="A72" s="122" t="s">
        <v>207</v>
      </c>
      <c r="B72" s="135" t="s">
        <v>303</v>
      </c>
      <c r="E72" s="122" t="s">
        <v>207</v>
      </c>
      <c r="F72" s="135" t="s">
        <v>303</v>
      </c>
      <c r="I72" s="122" t="s">
        <v>207</v>
      </c>
      <c r="J72" s="135" t="s">
        <v>303</v>
      </c>
      <c r="M72" s="122" t="s">
        <v>207</v>
      </c>
      <c r="N72" s="135" t="s">
        <v>303</v>
      </c>
      <c r="Q72" s="122" t="s">
        <v>207</v>
      </c>
      <c r="R72" s="135" t="s">
        <v>303</v>
      </c>
      <c r="U72" s="122" t="s">
        <v>207</v>
      </c>
      <c r="V72" s="135" t="s">
        <v>303</v>
      </c>
      <c r="Y72" s="122" t="s">
        <v>207</v>
      </c>
      <c r="Z72" s="135" t="s">
        <v>303</v>
      </c>
      <c r="AC72" s="122" t="s">
        <v>207</v>
      </c>
      <c r="AD72" s="135" t="s">
        <v>303</v>
      </c>
      <c r="AG72" s="122" t="s">
        <v>207</v>
      </c>
      <c r="AH72" s="135" t="s">
        <v>303</v>
      </c>
      <c r="AJ72" s="147"/>
      <c r="AK72" s="122"/>
    </row>
    <row r="74" spans="1:39" x14ac:dyDescent="0.3">
      <c r="A74" s="125" t="s">
        <v>197</v>
      </c>
    </row>
  </sheetData>
  <mergeCells count="13">
    <mergeCell ref="A1:K3"/>
    <mergeCell ref="M1:W3"/>
    <mergeCell ref="Y1:AM3"/>
    <mergeCell ref="U9:W10"/>
    <mergeCell ref="Y9:AA10"/>
    <mergeCell ref="AC9:AE10"/>
    <mergeCell ref="AK9:AM10"/>
    <mergeCell ref="A9:C10"/>
    <mergeCell ref="E9:G10"/>
    <mergeCell ref="I9:K10"/>
    <mergeCell ref="M9:O10"/>
    <mergeCell ref="Q9:S10"/>
    <mergeCell ref="AG9:AI10"/>
  </mergeCells>
  <pageMargins left="0.7" right="0.7" top="0.75" bottom="0.75" header="0.3" footer="0.3"/>
  <pageSetup paperSize="5" scale="83" fitToWidth="0" orientation="landscape"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D212F-6013-4300-9D59-EE30E3CB64D7}">
  <dimension ref="A1:I34"/>
  <sheetViews>
    <sheetView workbookViewId="0">
      <selection activeCell="F19" sqref="F19"/>
    </sheetView>
  </sheetViews>
  <sheetFormatPr defaultRowHeight="13.2" x14ac:dyDescent="0.25"/>
  <cols>
    <col min="1" max="1" width="31.44140625" customWidth="1"/>
    <col min="2" max="2" width="2.88671875" customWidth="1"/>
    <col min="6" max="6" width="31.44140625" customWidth="1"/>
    <col min="7" max="7" width="2.88671875" customWidth="1"/>
  </cols>
  <sheetData>
    <row r="1" spans="1:9" x14ac:dyDescent="0.25">
      <c r="A1" s="230" t="s">
        <v>346</v>
      </c>
      <c r="F1" s="230"/>
    </row>
    <row r="3" spans="1:9" x14ac:dyDescent="0.25">
      <c r="A3" s="2" t="s">
        <v>257</v>
      </c>
      <c r="B3" s="2"/>
      <c r="C3" s="243">
        <v>0.28000000000000003</v>
      </c>
      <c r="D3">
        <v>0.28000000000000003</v>
      </c>
      <c r="F3" s="2"/>
      <c r="G3" s="2"/>
      <c r="H3" s="243"/>
    </row>
    <row r="4" spans="1:9" x14ac:dyDescent="0.25">
      <c r="A4" s="2"/>
      <c r="B4" s="2"/>
      <c r="C4" s="243"/>
      <c r="F4" s="2"/>
      <c r="G4" s="2"/>
      <c r="H4" s="243"/>
    </row>
    <row r="5" spans="1:9" x14ac:dyDescent="0.25">
      <c r="A5" s="2" t="s">
        <v>256</v>
      </c>
      <c r="B5" s="2"/>
      <c r="C5" s="243">
        <v>0.28000000000000003</v>
      </c>
      <c r="D5">
        <v>0.28000000000000003</v>
      </c>
      <c r="F5" s="2"/>
      <c r="G5" s="2"/>
      <c r="H5" s="243"/>
    </row>
    <row r="6" spans="1:9" x14ac:dyDescent="0.25">
      <c r="A6" s="2"/>
      <c r="B6" s="2"/>
      <c r="C6" s="243"/>
      <c r="F6" s="2"/>
      <c r="G6" s="2"/>
      <c r="H6" s="243"/>
    </row>
    <row r="7" spans="1:9" x14ac:dyDescent="0.25">
      <c r="A7" s="2" t="s">
        <v>258</v>
      </c>
      <c r="B7" s="2"/>
      <c r="C7" s="243">
        <v>0</v>
      </c>
      <c r="D7" s="245">
        <v>0</v>
      </c>
      <c r="F7" s="2"/>
      <c r="G7" s="2"/>
      <c r="H7" s="243"/>
      <c r="I7" s="245"/>
    </row>
    <row r="8" spans="1:9" x14ac:dyDescent="0.25">
      <c r="A8" s="2"/>
      <c r="B8" s="2"/>
      <c r="C8" s="243"/>
      <c r="F8" s="2"/>
      <c r="G8" s="2"/>
      <c r="H8" s="243"/>
    </row>
    <row r="9" spans="1:9" x14ac:dyDescent="0.25">
      <c r="A9" s="2" t="s">
        <v>259</v>
      </c>
      <c r="B9" s="2"/>
      <c r="C9" s="243">
        <v>0</v>
      </c>
      <c r="D9" s="245">
        <v>0</v>
      </c>
      <c r="F9" s="2"/>
      <c r="G9" s="2"/>
      <c r="H9" s="243"/>
      <c r="I9" s="245"/>
    </row>
    <row r="10" spans="1:9" x14ac:dyDescent="0.25">
      <c r="A10" s="2"/>
      <c r="B10" s="2"/>
      <c r="C10" s="243"/>
      <c r="F10" s="2"/>
      <c r="G10" s="2"/>
      <c r="H10" s="243"/>
    </row>
    <row r="11" spans="1:9" x14ac:dyDescent="0.25">
      <c r="A11" s="2" t="s">
        <v>260</v>
      </c>
      <c r="B11" s="2"/>
      <c r="C11" s="243">
        <v>0.10100000000000001</v>
      </c>
      <c r="D11">
        <v>0.10100000000000001</v>
      </c>
      <c r="F11" s="2"/>
      <c r="G11" s="2"/>
      <c r="H11" s="243"/>
    </row>
    <row r="12" spans="1:9" x14ac:dyDescent="0.25">
      <c r="A12" s="2"/>
      <c r="B12" s="2"/>
      <c r="C12" s="243"/>
      <c r="F12" s="2"/>
      <c r="G12" s="2"/>
      <c r="H12" s="243"/>
    </row>
    <row r="13" spans="1:9" x14ac:dyDescent="0.25">
      <c r="A13" s="2" t="s">
        <v>261</v>
      </c>
      <c r="B13" s="2"/>
      <c r="C13" s="243">
        <v>0.10100000000000001</v>
      </c>
      <c r="D13">
        <v>0.10100000000000001</v>
      </c>
      <c r="F13" s="2"/>
      <c r="G13" s="2"/>
      <c r="H13" s="243"/>
    </row>
    <row r="14" spans="1:9" x14ac:dyDescent="0.25">
      <c r="A14" s="2"/>
      <c r="B14" s="2"/>
      <c r="C14" s="243"/>
      <c r="F14" s="2"/>
      <c r="G14" s="2"/>
      <c r="H14" s="243"/>
    </row>
    <row r="15" spans="1:9" x14ac:dyDescent="0.25">
      <c r="A15" s="2" t="s">
        <v>262</v>
      </c>
      <c r="B15" s="2"/>
      <c r="C15" s="243">
        <v>0.10100000000000001</v>
      </c>
      <c r="D15">
        <v>0.10100000000000001</v>
      </c>
      <c r="F15" s="2"/>
      <c r="G15" s="2"/>
      <c r="H15" s="243"/>
    </row>
    <row r="16" spans="1:9" x14ac:dyDescent="0.25">
      <c r="A16" s="2"/>
      <c r="B16" s="2"/>
      <c r="C16" s="243"/>
      <c r="F16" s="2"/>
      <c r="G16" s="2"/>
      <c r="H16" s="243"/>
    </row>
    <row r="17" spans="1:9" x14ac:dyDescent="0.25">
      <c r="A17" s="2" t="s">
        <v>263</v>
      </c>
      <c r="B17" s="2"/>
      <c r="C17" s="243">
        <v>0.45800000000000002</v>
      </c>
      <c r="D17">
        <v>0.45800000000000002</v>
      </c>
      <c r="F17" s="2"/>
      <c r="G17" s="2"/>
      <c r="H17" s="243"/>
    </row>
    <row r="18" spans="1:9" x14ac:dyDescent="0.25">
      <c r="A18" s="2"/>
      <c r="B18" s="2"/>
      <c r="C18" s="243"/>
      <c r="F18" s="2"/>
      <c r="G18" s="2"/>
      <c r="H18" s="243"/>
    </row>
    <row r="19" spans="1:9" x14ac:dyDescent="0.25">
      <c r="A19" s="2" t="s">
        <v>264</v>
      </c>
      <c r="B19" s="2"/>
      <c r="C19" s="243">
        <v>0.13200000000000001</v>
      </c>
      <c r="D19">
        <v>0.13200000000000001</v>
      </c>
      <c r="F19" s="2"/>
      <c r="G19" s="2"/>
      <c r="H19" s="243"/>
    </row>
    <row r="20" spans="1:9" x14ac:dyDescent="0.25">
      <c r="A20" s="2"/>
      <c r="B20" s="2"/>
      <c r="C20" s="243"/>
      <c r="F20" s="2"/>
      <c r="G20" s="2"/>
      <c r="H20" s="243"/>
    </row>
    <row r="21" spans="1:9" x14ac:dyDescent="0.25">
      <c r="A21" s="2" t="s">
        <v>265</v>
      </c>
      <c r="B21" s="2"/>
      <c r="C21" s="243">
        <v>0.13200000000000001</v>
      </c>
      <c r="D21">
        <v>0.13200000000000001</v>
      </c>
      <c r="F21" s="2"/>
      <c r="G21" s="2"/>
      <c r="H21" s="243"/>
    </row>
    <row r="22" spans="1:9" x14ac:dyDescent="0.25">
      <c r="A22" s="2"/>
      <c r="B22" s="2"/>
      <c r="C22" s="243"/>
      <c r="F22" s="2"/>
      <c r="G22" s="2"/>
      <c r="H22" s="243"/>
    </row>
    <row r="23" spans="1:9" x14ac:dyDescent="0.25">
      <c r="A23" s="2" t="s">
        <v>266</v>
      </c>
      <c r="B23" s="2"/>
      <c r="C23" s="243">
        <v>0.13200000000000001</v>
      </c>
      <c r="D23">
        <v>0.13200000000000001</v>
      </c>
      <c r="F23" s="2"/>
      <c r="G23" s="2"/>
      <c r="H23" s="243"/>
    </row>
    <row r="24" spans="1:9" x14ac:dyDescent="0.25">
      <c r="A24" s="2"/>
      <c r="B24" s="2"/>
      <c r="C24" s="243"/>
      <c r="F24" s="2"/>
      <c r="G24" s="2"/>
      <c r="H24" s="243"/>
    </row>
    <row r="25" spans="1:9" x14ac:dyDescent="0.25">
      <c r="A25" s="2" t="s">
        <v>267</v>
      </c>
      <c r="B25" s="2"/>
      <c r="C25" s="243">
        <v>0.13200000000000001</v>
      </c>
      <c r="D25">
        <v>0.13200000000000001</v>
      </c>
      <c r="F25" s="2"/>
      <c r="G25" s="2"/>
      <c r="H25" s="243"/>
    </row>
    <row r="26" spans="1:9" x14ac:dyDescent="0.25">
      <c r="A26" s="2"/>
      <c r="B26" s="2"/>
      <c r="C26" s="243"/>
      <c r="F26" s="2"/>
      <c r="G26" s="2"/>
      <c r="H26" s="243"/>
    </row>
    <row r="27" spans="1:9" x14ac:dyDescent="0.25">
      <c r="A27" s="2" t="s">
        <v>268</v>
      </c>
      <c r="B27" s="2"/>
      <c r="C27" s="243">
        <v>4.0000000000000001E-3</v>
      </c>
      <c r="D27">
        <v>4.0000000000000001E-3</v>
      </c>
      <c r="F27" s="2"/>
      <c r="G27" s="2"/>
      <c r="H27" s="243"/>
    </row>
    <row r="28" spans="1:9" x14ac:dyDescent="0.25">
      <c r="A28" s="2"/>
      <c r="B28" s="2"/>
      <c r="C28" s="243"/>
      <c r="F28" s="2"/>
      <c r="G28" s="2"/>
      <c r="H28" s="243"/>
    </row>
    <row r="29" spans="1:9" x14ac:dyDescent="0.25">
      <c r="A29" s="2" t="s">
        <v>269</v>
      </c>
      <c r="B29" s="2"/>
      <c r="C29" s="243">
        <v>0</v>
      </c>
      <c r="D29" s="245">
        <v>0</v>
      </c>
      <c r="F29" s="2"/>
      <c r="G29" s="2"/>
      <c r="H29" s="243"/>
      <c r="I29" s="245"/>
    </row>
    <row r="30" spans="1:9" x14ac:dyDescent="0.25">
      <c r="A30" s="2"/>
      <c r="B30" s="2"/>
      <c r="C30" s="243"/>
      <c r="F30" s="2"/>
      <c r="G30" s="2"/>
      <c r="H30" s="243"/>
    </row>
    <row r="31" spans="1:9" x14ac:dyDescent="0.25">
      <c r="A31" s="2" t="s">
        <v>270</v>
      </c>
      <c r="B31" s="2"/>
      <c r="C31" s="243">
        <v>0</v>
      </c>
      <c r="D31" s="245">
        <v>0</v>
      </c>
      <c r="F31" s="2"/>
      <c r="G31" s="2"/>
      <c r="H31" s="243"/>
      <c r="I31" s="245"/>
    </row>
    <row r="32" spans="1:9" x14ac:dyDescent="0.25">
      <c r="A32" s="2"/>
      <c r="B32" s="2"/>
      <c r="C32" s="243"/>
      <c r="F32" s="2"/>
      <c r="G32" s="2"/>
      <c r="H32" s="243"/>
    </row>
    <row r="33" spans="1:8" x14ac:dyDescent="0.25">
      <c r="A33" s="2" t="s">
        <v>271</v>
      </c>
      <c r="B33" s="2"/>
      <c r="C33" s="243">
        <v>0.222</v>
      </c>
      <c r="D33">
        <v>0.222</v>
      </c>
      <c r="F33" s="2"/>
      <c r="G33" s="2"/>
      <c r="H33" s="243"/>
    </row>
    <row r="34" spans="1:8" x14ac:dyDescent="0.25">
      <c r="H34" s="24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B9C4B-E53A-4BB9-B4A4-3D10921889F6}">
  <dimension ref="A1:AE47"/>
  <sheetViews>
    <sheetView showGridLines="0" workbookViewId="0"/>
  </sheetViews>
  <sheetFormatPr defaultRowHeight="13.2" x14ac:dyDescent="0.25"/>
  <cols>
    <col min="1" max="1" width="33.44140625" customWidth="1"/>
    <col min="2" max="2" width="2" customWidth="1"/>
    <col min="3" max="3" width="10.44140625" bestFit="1" customWidth="1"/>
    <col min="4" max="4" width="9.5546875" bestFit="1" customWidth="1"/>
    <col min="5" max="5" width="9.5546875" customWidth="1"/>
    <col min="6" max="6" width="9.44140625" customWidth="1"/>
    <col min="7" max="7" width="10" customWidth="1"/>
    <col min="8" max="8" width="9.44140625" customWidth="1"/>
    <col min="9" max="9" width="10" customWidth="1"/>
    <col min="10" max="10" width="9.44140625" customWidth="1"/>
    <col min="11" max="11" width="9" customWidth="1"/>
    <col min="12" max="12" width="9.33203125" customWidth="1"/>
    <col min="13" max="13" width="10.109375" customWidth="1"/>
    <col min="14" max="14" width="9.109375" customWidth="1"/>
  </cols>
  <sheetData>
    <row r="1" spans="1:31" ht="15.6" x14ac:dyDescent="0.3">
      <c r="A1" s="296" t="s">
        <v>229</v>
      </c>
      <c r="B1" s="266"/>
      <c r="C1" s="266"/>
      <c r="D1" s="266"/>
      <c r="E1" s="267" t="s">
        <v>290</v>
      </c>
      <c r="F1" s="268"/>
      <c r="G1" s="268"/>
      <c r="I1" s="134" t="s">
        <v>289</v>
      </c>
    </row>
    <row r="2" spans="1:31" ht="16.2" thickBot="1" x14ac:dyDescent="0.35">
      <c r="A2" s="119"/>
    </row>
    <row r="3" spans="1:31" ht="13.8" thickBot="1" x14ac:dyDescent="0.3">
      <c r="F3" s="331" t="s">
        <v>225</v>
      </c>
      <c r="G3" s="332"/>
      <c r="H3" s="332"/>
      <c r="I3" s="332"/>
      <c r="J3" s="332"/>
      <c r="K3" s="332"/>
      <c r="L3" s="332"/>
      <c r="M3" s="332"/>
      <c r="N3" s="333"/>
    </row>
    <row r="4" spans="1:31" ht="69.599999999999994" thickBot="1" x14ac:dyDescent="0.3">
      <c r="A4" s="272" t="s">
        <v>203</v>
      </c>
      <c r="B4" s="273"/>
      <c r="C4" s="274" t="s">
        <v>200</v>
      </c>
      <c r="D4" s="274" t="s">
        <v>198</v>
      </c>
      <c r="E4" s="274" t="s">
        <v>214</v>
      </c>
      <c r="F4" s="269" t="s">
        <v>291</v>
      </c>
      <c r="G4" s="269" t="s">
        <v>292</v>
      </c>
      <c r="H4" s="269" t="s">
        <v>293</v>
      </c>
      <c r="I4" s="269" t="s">
        <v>294</v>
      </c>
      <c r="J4" s="269" t="s">
        <v>295</v>
      </c>
      <c r="K4" s="269" t="s">
        <v>296</v>
      </c>
      <c r="L4" s="269" t="s">
        <v>297</v>
      </c>
      <c r="M4" s="270" t="s">
        <v>298</v>
      </c>
      <c r="N4" s="270" t="s">
        <v>299</v>
      </c>
    </row>
    <row r="5" spans="1:31" ht="43.2" x14ac:dyDescent="0.3">
      <c r="A5" s="275" t="s">
        <v>207</v>
      </c>
      <c r="B5" s="276"/>
      <c r="C5" s="277"/>
      <c r="D5" s="277"/>
      <c r="E5" s="276"/>
      <c r="F5" s="271" t="s">
        <v>228</v>
      </c>
      <c r="G5" s="271" t="s">
        <v>228</v>
      </c>
      <c r="H5" s="271" t="s">
        <v>228</v>
      </c>
      <c r="I5" s="271" t="s">
        <v>228</v>
      </c>
      <c r="J5" s="271" t="s">
        <v>228</v>
      </c>
      <c r="K5" s="271" t="s">
        <v>228</v>
      </c>
      <c r="L5" s="271" t="s">
        <v>228</v>
      </c>
      <c r="M5" s="271" t="s">
        <v>228</v>
      </c>
      <c r="N5" s="271" t="s">
        <v>228</v>
      </c>
      <c r="O5" s="111"/>
      <c r="P5" s="234" t="s">
        <v>274</v>
      </c>
      <c r="Q5" s="193"/>
      <c r="R5" s="235" t="s">
        <v>275</v>
      </c>
      <c r="S5" s="111"/>
      <c r="T5" s="111"/>
      <c r="V5" s="111"/>
      <c r="W5" s="111"/>
      <c r="X5" s="111"/>
      <c r="Z5" s="111"/>
      <c r="AA5" s="111"/>
      <c r="AB5" s="111"/>
      <c r="AD5" s="111"/>
      <c r="AE5" s="111"/>
    </row>
    <row r="6" spans="1:31" x14ac:dyDescent="0.25">
      <c r="A6" s="279"/>
      <c r="B6" s="149"/>
      <c r="C6" s="150"/>
      <c r="D6" s="150"/>
      <c r="E6" s="151"/>
      <c r="F6" s="150"/>
      <c r="G6" s="150"/>
      <c r="H6" s="150"/>
      <c r="I6" s="150"/>
      <c r="J6" s="150"/>
      <c r="K6" s="150"/>
      <c r="L6" s="150"/>
      <c r="M6" s="150"/>
      <c r="N6" s="152"/>
      <c r="P6" s="236" t="s">
        <v>276</v>
      </c>
      <c r="Q6" s="236"/>
      <c r="R6" s="236">
        <v>88</v>
      </c>
    </row>
    <row r="7" spans="1:31" x14ac:dyDescent="0.25">
      <c r="A7" s="280" t="s">
        <v>204</v>
      </c>
      <c r="B7" s="175"/>
      <c r="C7" s="176"/>
      <c r="D7" s="176"/>
      <c r="E7" s="293">
        <f>+'FY26 Fringe Rates'!D3</f>
        <v>0.28000000000000003</v>
      </c>
      <c r="F7" s="176"/>
      <c r="G7" s="178"/>
      <c r="H7" s="176"/>
      <c r="I7" s="176"/>
      <c r="J7" s="176"/>
      <c r="K7" s="176"/>
      <c r="L7" s="176"/>
      <c r="M7" s="176"/>
      <c r="N7" s="179"/>
      <c r="P7" s="236" t="s">
        <v>277</v>
      </c>
      <c r="Q7" s="236"/>
      <c r="R7" s="236">
        <f>24*8</f>
        <v>192</v>
      </c>
    </row>
    <row r="8" spans="1:31" x14ac:dyDescent="0.25">
      <c r="A8" s="153"/>
      <c r="B8" s="149"/>
      <c r="C8" s="291"/>
      <c r="D8" s="278">
        <f>+C8/1680</f>
        <v>0</v>
      </c>
      <c r="E8" s="206"/>
      <c r="F8" s="154">
        <f>+$D8*0.15</f>
        <v>0</v>
      </c>
      <c r="G8" s="154">
        <f>+$D8*0.15</f>
        <v>0</v>
      </c>
      <c r="H8" s="154">
        <f t="shared" ref="H8:N9" si="0">+$D8*0.15</f>
        <v>0</v>
      </c>
      <c r="I8" s="154">
        <f t="shared" si="0"/>
        <v>0</v>
      </c>
      <c r="J8" s="154">
        <f t="shared" si="0"/>
        <v>0</v>
      </c>
      <c r="K8" s="154">
        <f t="shared" si="0"/>
        <v>0</v>
      </c>
      <c r="L8" s="154">
        <f t="shared" si="0"/>
        <v>0</v>
      </c>
      <c r="M8" s="154">
        <f t="shared" si="0"/>
        <v>0</v>
      </c>
      <c r="N8" s="154">
        <f t="shared" si="0"/>
        <v>0</v>
      </c>
      <c r="O8" s="126"/>
      <c r="P8" s="237" t="s">
        <v>278</v>
      </c>
      <c r="Q8" s="236"/>
      <c r="R8" s="238">
        <f>15*8</f>
        <v>120</v>
      </c>
    </row>
    <row r="9" spans="1:31" x14ac:dyDescent="0.25">
      <c r="A9" s="153"/>
      <c r="B9" s="149"/>
      <c r="C9" s="292"/>
      <c r="D9" s="278">
        <f>+C9/1680</f>
        <v>0</v>
      </c>
      <c r="E9" s="206"/>
      <c r="F9" s="157">
        <f>+$D9*0.15</f>
        <v>0</v>
      </c>
      <c r="G9" s="157">
        <f>+$D9*0.15</f>
        <v>0</v>
      </c>
      <c r="H9" s="157">
        <f t="shared" si="0"/>
        <v>0</v>
      </c>
      <c r="I9" s="157">
        <f t="shared" si="0"/>
        <v>0</v>
      </c>
      <c r="J9" s="157">
        <f t="shared" si="0"/>
        <v>0</v>
      </c>
      <c r="K9" s="157">
        <f t="shared" si="0"/>
        <v>0</v>
      </c>
      <c r="L9" s="157">
        <f t="shared" si="0"/>
        <v>0</v>
      </c>
      <c r="M9" s="157">
        <f t="shared" si="0"/>
        <v>0</v>
      </c>
      <c r="N9" s="157">
        <f t="shared" si="0"/>
        <v>0</v>
      </c>
      <c r="O9" s="126"/>
      <c r="P9" s="239"/>
      <c r="Q9" s="236"/>
      <c r="R9" s="236">
        <f>SUM(R6:R8)</f>
        <v>400</v>
      </c>
    </row>
    <row r="10" spans="1:31" x14ac:dyDescent="0.25">
      <c r="A10" s="281" t="s">
        <v>219</v>
      </c>
      <c r="B10" s="177"/>
      <c r="C10" s="212">
        <f>SUM(C8:C9)</f>
        <v>0</v>
      </c>
      <c r="D10" s="180"/>
      <c r="E10" s="207"/>
      <c r="F10" s="181">
        <f>SUM(F8:F9)/2</f>
        <v>0</v>
      </c>
      <c r="G10" s="181">
        <f>SUM(G8:G9)/2</f>
        <v>0</v>
      </c>
      <c r="H10" s="181">
        <f>SUM(H8:H9)/2</f>
        <v>0</v>
      </c>
      <c r="I10" s="181">
        <f>SUM(I8:I9)/2</f>
        <v>0</v>
      </c>
      <c r="J10" s="181">
        <f t="shared" ref="J10:N10" si="1">SUM(J8:J9)/2</f>
        <v>0</v>
      </c>
      <c r="K10" s="181">
        <f t="shared" si="1"/>
        <v>0</v>
      </c>
      <c r="L10" s="181">
        <f t="shared" si="1"/>
        <v>0</v>
      </c>
      <c r="M10" s="181">
        <f t="shared" si="1"/>
        <v>0</v>
      </c>
      <c r="N10" s="181">
        <f t="shared" si="1"/>
        <v>0</v>
      </c>
      <c r="O10" s="126"/>
      <c r="P10" s="237" t="s">
        <v>279</v>
      </c>
      <c r="Q10" s="236"/>
      <c r="R10" s="238">
        <v>2080</v>
      </c>
    </row>
    <row r="11" spans="1:31" x14ac:dyDescent="0.25">
      <c r="A11" s="282"/>
      <c r="B11" s="149"/>
      <c r="C11" s="150"/>
      <c r="D11" s="150"/>
      <c r="E11" s="151"/>
      <c r="F11" s="160"/>
      <c r="G11" s="161"/>
      <c r="H11" s="161"/>
      <c r="I11" s="161"/>
      <c r="J11" s="161"/>
      <c r="K11" s="161"/>
      <c r="L11" s="161"/>
      <c r="M11" s="161"/>
      <c r="N11" s="162"/>
      <c r="O11" s="126"/>
      <c r="P11" s="240" t="s">
        <v>280</v>
      </c>
      <c r="Q11" s="236"/>
      <c r="R11" s="241">
        <f>+R10-R9</f>
        <v>1680</v>
      </c>
    </row>
    <row r="12" spans="1:31" x14ac:dyDescent="0.25">
      <c r="A12" s="283" t="s">
        <v>199</v>
      </c>
      <c r="B12" s="175"/>
      <c r="C12" s="176"/>
      <c r="D12" s="176"/>
      <c r="E12" s="293">
        <f>+'FY26 Fringe Rates'!D5</f>
        <v>0.28000000000000003</v>
      </c>
      <c r="F12" s="182"/>
      <c r="G12" s="183"/>
      <c r="H12" s="183"/>
      <c r="I12" s="183"/>
      <c r="J12" s="183"/>
      <c r="K12" s="183"/>
      <c r="L12" s="183"/>
      <c r="M12" s="183"/>
      <c r="N12" s="184"/>
      <c r="O12" s="126"/>
      <c r="P12" s="239"/>
      <c r="Q12" s="236"/>
      <c r="R12" s="236"/>
    </row>
    <row r="13" spans="1:31" x14ac:dyDescent="0.25">
      <c r="A13" s="163"/>
      <c r="B13" s="148"/>
      <c r="C13" s="289"/>
      <c r="D13" s="278">
        <f>+C13/1680</f>
        <v>0</v>
      </c>
      <c r="E13" s="164"/>
      <c r="F13" s="154">
        <f>+$D13*0.25</f>
        <v>0</v>
      </c>
      <c r="G13" s="154">
        <f t="shared" ref="G13:N14" si="2">+$D13*0.25</f>
        <v>0</v>
      </c>
      <c r="H13" s="154">
        <f t="shared" si="2"/>
        <v>0</v>
      </c>
      <c r="I13" s="154">
        <f t="shared" si="2"/>
        <v>0</v>
      </c>
      <c r="J13" s="154">
        <f t="shared" si="2"/>
        <v>0</v>
      </c>
      <c r="K13" s="154">
        <f t="shared" si="2"/>
        <v>0</v>
      </c>
      <c r="L13" s="154">
        <f t="shared" si="2"/>
        <v>0</v>
      </c>
      <c r="M13" s="154">
        <f t="shared" si="2"/>
        <v>0</v>
      </c>
      <c r="N13" s="154">
        <f t="shared" si="2"/>
        <v>0</v>
      </c>
      <c r="O13" s="126"/>
      <c r="P13" s="239"/>
      <c r="Q13" s="236"/>
      <c r="R13" s="236"/>
    </row>
    <row r="14" spans="1:31" x14ac:dyDescent="0.25">
      <c r="A14" s="163"/>
      <c r="B14" s="148"/>
      <c r="C14" s="290"/>
      <c r="D14" s="278">
        <f>+C14/1680</f>
        <v>0</v>
      </c>
      <c r="E14" s="164"/>
      <c r="F14" s="154">
        <f>+$D14*0.25</f>
        <v>0</v>
      </c>
      <c r="G14" s="154">
        <f t="shared" si="2"/>
        <v>0</v>
      </c>
      <c r="H14" s="154">
        <f t="shared" si="2"/>
        <v>0</v>
      </c>
      <c r="I14" s="154">
        <f t="shared" si="2"/>
        <v>0</v>
      </c>
      <c r="J14" s="154">
        <f t="shared" si="2"/>
        <v>0</v>
      </c>
      <c r="K14" s="154">
        <f t="shared" si="2"/>
        <v>0</v>
      </c>
      <c r="L14" s="154">
        <f t="shared" si="2"/>
        <v>0</v>
      </c>
      <c r="M14" s="154">
        <f t="shared" si="2"/>
        <v>0</v>
      </c>
      <c r="N14" s="154">
        <f t="shared" si="2"/>
        <v>0</v>
      </c>
      <c r="O14" s="126"/>
      <c r="P14" s="240" t="s">
        <v>281</v>
      </c>
      <c r="Q14" s="236"/>
      <c r="R14" s="236"/>
    </row>
    <row r="15" spans="1:31" x14ac:dyDescent="0.25">
      <c r="A15" s="281" t="s">
        <v>218</v>
      </c>
      <c r="B15" s="185"/>
      <c r="C15" s="211">
        <f>SUM(C13:C14)</f>
        <v>0</v>
      </c>
      <c r="D15" s="180"/>
      <c r="E15" s="186"/>
      <c r="F15" s="181">
        <f>+F13+F14</f>
        <v>0</v>
      </c>
      <c r="G15" s="181">
        <f t="shared" ref="G15:N15" si="3">+G13+G14</f>
        <v>0</v>
      </c>
      <c r="H15" s="181">
        <f t="shared" si="3"/>
        <v>0</v>
      </c>
      <c r="I15" s="181">
        <f t="shared" si="3"/>
        <v>0</v>
      </c>
      <c r="J15" s="181">
        <f t="shared" si="3"/>
        <v>0</v>
      </c>
      <c r="K15" s="181">
        <f t="shared" si="3"/>
        <v>0</v>
      </c>
      <c r="L15" s="181">
        <f t="shared" si="3"/>
        <v>0</v>
      </c>
      <c r="M15" s="181">
        <f t="shared" si="3"/>
        <v>0</v>
      </c>
      <c r="N15" s="181">
        <f t="shared" si="3"/>
        <v>0</v>
      </c>
      <c r="O15" s="126"/>
      <c r="P15" s="237" t="s">
        <v>282</v>
      </c>
      <c r="Q15" s="236"/>
      <c r="R15" s="236">
        <v>48</v>
      </c>
    </row>
    <row r="16" spans="1:31" x14ac:dyDescent="0.25">
      <c r="A16" s="284"/>
      <c r="B16" s="148"/>
      <c r="C16" s="148"/>
      <c r="D16" s="148"/>
      <c r="E16" s="164"/>
      <c r="F16" s="165"/>
      <c r="G16" s="166"/>
      <c r="H16" s="161"/>
      <c r="I16" s="166"/>
      <c r="J16" s="166"/>
      <c r="K16" s="166"/>
      <c r="L16" s="166"/>
      <c r="M16" s="166"/>
      <c r="N16" s="167"/>
      <c r="O16" s="126"/>
      <c r="P16" s="237" t="s">
        <v>279</v>
      </c>
      <c r="Q16" s="236"/>
      <c r="R16" s="238">
        <v>2080</v>
      </c>
    </row>
    <row r="17" spans="1:19" x14ac:dyDescent="0.25">
      <c r="A17" s="285" t="s">
        <v>206</v>
      </c>
      <c r="B17" s="187"/>
      <c r="C17" s="187"/>
      <c r="D17" s="187"/>
      <c r="E17" s="288">
        <f>+'FY26 Fringe Rates'!D13</f>
        <v>0.10100000000000001</v>
      </c>
      <c r="F17" s="188"/>
      <c r="G17" s="189"/>
      <c r="H17" s="189"/>
      <c r="I17" s="189"/>
      <c r="J17" s="189"/>
      <c r="K17" s="189"/>
      <c r="L17" s="189"/>
      <c r="M17" s="189"/>
      <c r="N17" s="190"/>
      <c r="O17" s="126"/>
      <c r="P17" s="240" t="s">
        <v>280</v>
      </c>
      <c r="Q17" s="236"/>
      <c r="R17" s="241">
        <f>+R16-R15</f>
        <v>2032</v>
      </c>
    </row>
    <row r="18" spans="1:19" x14ac:dyDescent="0.25">
      <c r="A18" s="163"/>
      <c r="B18" s="148"/>
      <c r="C18" s="289"/>
      <c r="D18" s="278">
        <f>+C18/2032</f>
        <v>0</v>
      </c>
      <c r="E18" s="164"/>
      <c r="F18" s="154">
        <f>+$D18*0.75</f>
        <v>0</v>
      </c>
      <c r="G18" s="154">
        <f t="shared" ref="G18:M19" si="4">+$D18*0.75</f>
        <v>0</v>
      </c>
      <c r="H18" s="154">
        <f t="shared" si="4"/>
        <v>0</v>
      </c>
      <c r="I18" s="154">
        <f t="shared" si="4"/>
        <v>0</v>
      </c>
      <c r="J18" s="154">
        <f t="shared" si="4"/>
        <v>0</v>
      </c>
      <c r="K18" s="154">
        <f t="shared" si="4"/>
        <v>0</v>
      </c>
      <c r="L18" s="154">
        <f t="shared" si="4"/>
        <v>0</v>
      </c>
      <c r="M18" s="154">
        <f t="shared" si="4"/>
        <v>0</v>
      </c>
      <c r="N18" s="154"/>
      <c r="O18" s="126"/>
    </row>
    <row r="19" spans="1:19" x14ac:dyDescent="0.25">
      <c r="A19" s="163"/>
      <c r="B19" s="148"/>
      <c r="C19" s="290"/>
      <c r="D19" s="278">
        <f>+C19/2032</f>
        <v>0</v>
      </c>
      <c r="E19" s="164"/>
      <c r="F19" s="157">
        <f>+$D19*0.75</f>
        <v>0</v>
      </c>
      <c r="G19" s="157">
        <f t="shared" si="4"/>
        <v>0</v>
      </c>
      <c r="H19" s="157">
        <f t="shared" si="4"/>
        <v>0</v>
      </c>
      <c r="I19" s="157">
        <f t="shared" si="4"/>
        <v>0</v>
      </c>
      <c r="J19" s="157">
        <f t="shared" si="4"/>
        <v>0</v>
      </c>
      <c r="K19" s="157">
        <f t="shared" si="4"/>
        <v>0</v>
      </c>
      <c r="L19" s="157">
        <f t="shared" si="4"/>
        <v>0</v>
      </c>
      <c r="M19" s="157">
        <f t="shared" si="4"/>
        <v>0</v>
      </c>
      <c r="N19" s="157"/>
      <c r="O19" s="126"/>
      <c r="P19" s="241" t="s">
        <v>283</v>
      </c>
    </row>
    <row r="20" spans="1:19" x14ac:dyDescent="0.25">
      <c r="A20" s="281" t="s">
        <v>217</v>
      </c>
      <c r="B20" s="185"/>
      <c r="C20" s="211">
        <f>SUM(C18:C19)</f>
        <v>0</v>
      </c>
      <c r="D20" s="180"/>
      <c r="E20" s="186"/>
      <c r="F20" s="209">
        <f t="shared" ref="F20" si="5">SUM(F18:F19)/2</f>
        <v>0</v>
      </c>
      <c r="G20" s="209">
        <f t="shared" ref="G20" si="6">SUM(G18:G19)/2</f>
        <v>0</v>
      </c>
      <c r="H20" s="209">
        <f t="shared" ref="H20" si="7">SUM(H18:H19)/2</f>
        <v>0</v>
      </c>
      <c r="I20" s="209">
        <f t="shared" ref="I20" si="8">SUM(I18:I19)/2</f>
        <v>0</v>
      </c>
      <c r="J20" s="209">
        <f t="shared" ref="J20" si="9">SUM(J18:J19)/2</f>
        <v>0</v>
      </c>
      <c r="K20" s="209">
        <f t="shared" ref="K20" si="10">SUM(K18:K19)/2</f>
        <v>0</v>
      </c>
      <c r="L20" s="209">
        <f t="shared" ref="L20" si="11">SUM(L18:L19)/2</f>
        <v>0</v>
      </c>
      <c r="M20" s="209">
        <f t="shared" ref="M20" si="12">SUM(M18:M19)/2</f>
        <v>0</v>
      </c>
      <c r="N20" s="209">
        <f t="shared" ref="N20" si="13">SUM(N18:N19)/2</f>
        <v>0</v>
      </c>
      <c r="O20" s="126"/>
      <c r="P20" s="134" t="s">
        <v>287</v>
      </c>
      <c r="Q20" s="134"/>
      <c r="R20" s="134">
        <f>11*8</f>
        <v>88</v>
      </c>
    </row>
    <row r="21" spans="1:19" x14ac:dyDescent="0.25">
      <c r="A21" s="284"/>
      <c r="B21" s="148"/>
      <c r="C21" s="148"/>
      <c r="D21" s="148"/>
      <c r="E21" s="164"/>
      <c r="F21" s="165"/>
      <c r="G21" s="166"/>
      <c r="H21" s="161"/>
      <c r="I21" s="166"/>
      <c r="J21" s="166"/>
      <c r="K21" s="166"/>
      <c r="L21" s="161"/>
      <c r="M21" s="166"/>
      <c r="N21" s="167"/>
      <c r="O21" s="126"/>
      <c r="P21" s="134" t="s">
        <v>285</v>
      </c>
      <c r="Q21" s="134"/>
      <c r="R21" s="134">
        <f>11*12</f>
        <v>132</v>
      </c>
      <c r="S21" s="134" t="s">
        <v>284</v>
      </c>
    </row>
    <row r="22" spans="1:19" x14ac:dyDescent="0.25">
      <c r="A22" s="285" t="s">
        <v>201</v>
      </c>
      <c r="B22" s="187"/>
      <c r="C22" s="187"/>
      <c r="D22" s="191"/>
      <c r="E22" s="288">
        <f>+'FY26 Fringe Rates'!D27</f>
        <v>4.0000000000000001E-3</v>
      </c>
      <c r="F22" s="187"/>
      <c r="G22" s="187"/>
      <c r="H22" s="210"/>
      <c r="I22" s="187"/>
      <c r="J22" s="187"/>
      <c r="K22" s="187"/>
      <c r="L22" s="188"/>
      <c r="M22" s="187"/>
      <c r="N22" s="192"/>
      <c r="O22" s="126"/>
      <c r="P22" s="134" t="s">
        <v>286</v>
      </c>
      <c r="Q22" s="134"/>
      <c r="R22" s="242">
        <f>6.66*12</f>
        <v>79.92</v>
      </c>
    </row>
    <row r="23" spans="1:19" x14ac:dyDescent="0.25">
      <c r="A23" s="163"/>
      <c r="B23" s="148"/>
      <c r="C23" s="148"/>
      <c r="D23" s="208"/>
      <c r="E23" s="164"/>
      <c r="F23" s="154"/>
      <c r="G23" s="155"/>
      <c r="H23" s="155"/>
      <c r="I23" s="155"/>
      <c r="J23" s="155"/>
      <c r="K23" s="155"/>
      <c r="L23" s="155"/>
      <c r="M23" s="155"/>
      <c r="N23" s="156">
        <f>+D23*0.5</f>
        <v>0</v>
      </c>
      <c r="O23" s="126"/>
      <c r="P23" s="134"/>
      <c r="Q23" s="134"/>
      <c r="R23" s="134">
        <f>SUM(R20:R22)</f>
        <v>299.92</v>
      </c>
    </row>
    <row r="24" spans="1:19" x14ac:dyDescent="0.25">
      <c r="A24" s="163"/>
      <c r="B24" s="148"/>
      <c r="C24" s="148"/>
      <c r="D24" s="208"/>
      <c r="E24" s="164"/>
      <c r="F24" s="157"/>
      <c r="G24" s="158"/>
      <c r="H24" s="158"/>
      <c r="I24" s="158"/>
      <c r="J24" s="158"/>
      <c r="K24" s="158"/>
      <c r="L24" s="158"/>
      <c r="M24" s="158"/>
      <c r="N24" s="159">
        <f>+D24*0.5</f>
        <v>0</v>
      </c>
      <c r="O24" s="126"/>
      <c r="P24" s="134" t="s">
        <v>279</v>
      </c>
      <c r="Q24" s="134"/>
      <c r="R24" s="242">
        <v>2080</v>
      </c>
    </row>
    <row r="25" spans="1:19" x14ac:dyDescent="0.25">
      <c r="A25" s="281" t="s">
        <v>216</v>
      </c>
      <c r="B25" s="185"/>
      <c r="C25" s="185"/>
      <c r="D25" s="185"/>
      <c r="E25" s="186"/>
      <c r="F25" s="181">
        <f>+F23+F24</f>
        <v>0</v>
      </c>
      <c r="G25" s="181">
        <f t="shared" ref="G25:N25" si="14">+G23+G24</f>
        <v>0</v>
      </c>
      <c r="H25" s="181">
        <f t="shared" si="14"/>
        <v>0</v>
      </c>
      <c r="I25" s="181">
        <f t="shared" si="14"/>
        <v>0</v>
      </c>
      <c r="J25" s="181">
        <f t="shared" si="14"/>
        <v>0</v>
      </c>
      <c r="K25" s="181">
        <f t="shared" si="14"/>
        <v>0</v>
      </c>
      <c r="L25" s="181">
        <f t="shared" si="14"/>
        <v>0</v>
      </c>
      <c r="M25" s="181">
        <f t="shared" si="14"/>
        <v>0</v>
      </c>
      <c r="N25" s="181">
        <f t="shared" si="14"/>
        <v>0</v>
      </c>
      <c r="O25" s="126"/>
      <c r="P25" s="241" t="s">
        <v>288</v>
      </c>
      <c r="Q25" s="134"/>
      <c r="R25" s="241">
        <f>+R24-R23</f>
        <v>1780.08</v>
      </c>
    </row>
    <row r="26" spans="1:19" x14ac:dyDescent="0.25">
      <c r="A26" s="286"/>
      <c r="B26" s="148"/>
      <c r="C26" s="148"/>
      <c r="D26" s="148"/>
      <c r="E26" s="164"/>
      <c r="F26" s="165"/>
      <c r="G26" s="166"/>
      <c r="H26" s="161"/>
      <c r="I26" s="166"/>
      <c r="J26" s="166"/>
      <c r="K26" s="166"/>
      <c r="L26" s="166"/>
      <c r="M26" s="166"/>
      <c r="N26" s="167"/>
      <c r="O26" s="126"/>
      <c r="P26" s="134"/>
      <c r="Q26" s="134"/>
      <c r="R26" s="134"/>
    </row>
    <row r="27" spans="1:19" x14ac:dyDescent="0.25">
      <c r="A27" s="285" t="s">
        <v>205</v>
      </c>
      <c r="B27" s="187"/>
      <c r="C27" s="187"/>
      <c r="D27" s="187"/>
      <c r="E27" s="288">
        <f>+'FY26 Fringe Rates'!D17</f>
        <v>0.45800000000000002</v>
      </c>
      <c r="F27" s="188"/>
      <c r="G27" s="189"/>
      <c r="H27" s="183"/>
      <c r="I27" s="189"/>
      <c r="J27" s="189"/>
      <c r="K27" s="189"/>
      <c r="L27" s="189"/>
      <c r="M27" s="189"/>
      <c r="N27" s="190"/>
      <c r="O27" s="126"/>
      <c r="P27" s="134"/>
      <c r="Q27" s="134"/>
      <c r="R27" s="134"/>
    </row>
    <row r="28" spans="1:19" x14ac:dyDescent="0.25">
      <c r="A28" s="163"/>
      <c r="B28" s="148"/>
      <c r="C28" s="289"/>
      <c r="D28" s="278">
        <f>+C28/1780</f>
        <v>0</v>
      </c>
      <c r="E28" s="168"/>
      <c r="F28" s="169"/>
      <c r="G28" s="170"/>
      <c r="H28" s="155"/>
      <c r="I28" s="170"/>
      <c r="J28" s="154"/>
      <c r="K28" s="170"/>
      <c r="L28" s="170"/>
      <c r="M28" s="170"/>
      <c r="N28" s="171">
        <f>+D28*0.25</f>
        <v>0</v>
      </c>
      <c r="O28" s="126"/>
    </row>
    <row r="29" spans="1:19" x14ac:dyDescent="0.25">
      <c r="A29" s="163"/>
      <c r="B29" s="148"/>
      <c r="C29" s="290"/>
      <c r="D29" s="278">
        <f>+C29/1780</f>
        <v>0</v>
      </c>
      <c r="E29" s="164"/>
      <c r="F29" s="157"/>
      <c r="G29" s="218"/>
      <c r="H29" s="158"/>
      <c r="I29" s="218"/>
      <c r="J29" s="157"/>
      <c r="K29" s="158"/>
      <c r="L29" s="218"/>
      <c r="M29" s="218"/>
      <c r="N29" s="219">
        <f>+D29*0.25</f>
        <v>0</v>
      </c>
      <c r="O29" s="126"/>
    </row>
    <row r="30" spans="1:19" x14ac:dyDescent="0.25">
      <c r="A30" s="281" t="s">
        <v>215</v>
      </c>
      <c r="B30" s="185"/>
      <c r="C30" s="211">
        <f>SUM(C28:C29)</f>
        <v>0</v>
      </c>
      <c r="D30" s="185"/>
      <c r="E30" s="186"/>
      <c r="F30" s="181">
        <f>+F28+F29</f>
        <v>0</v>
      </c>
      <c r="G30" s="181">
        <f t="shared" ref="G30:N30" si="15">+G28+G29</f>
        <v>0</v>
      </c>
      <c r="H30" s="181">
        <f t="shared" si="15"/>
        <v>0</v>
      </c>
      <c r="I30" s="181">
        <f t="shared" si="15"/>
        <v>0</v>
      </c>
      <c r="J30" s="181">
        <f t="shared" si="15"/>
        <v>0</v>
      </c>
      <c r="K30" s="181">
        <f t="shared" si="15"/>
        <v>0</v>
      </c>
      <c r="L30" s="181">
        <f t="shared" si="15"/>
        <v>0</v>
      </c>
      <c r="M30" s="181">
        <f t="shared" si="15"/>
        <v>0</v>
      </c>
      <c r="N30" s="181">
        <f t="shared" si="15"/>
        <v>0</v>
      </c>
      <c r="O30" s="126"/>
    </row>
    <row r="31" spans="1:19" x14ac:dyDescent="0.25">
      <c r="A31" s="284"/>
      <c r="B31" s="148"/>
      <c r="C31" s="148"/>
      <c r="D31" s="148"/>
      <c r="E31" s="164"/>
      <c r="F31" s="165"/>
      <c r="G31" s="166"/>
      <c r="H31" s="161"/>
      <c r="I31" s="166"/>
      <c r="J31" s="166"/>
      <c r="K31" s="166"/>
      <c r="L31" s="166"/>
      <c r="M31" s="166"/>
      <c r="N31" s="167"/>
      <c r="O31" s="126"/>
    </row>
    <row r="32" spans="1:19" x14ac:dyDescent="0.25">
      <c r="A32" s="285" t="s">
        <v>202</v>
      </c>
      <c r="B32" s="187"/>
      <c r="C32" s="187"/>
      <c r="D32" s="187"/>
      <c r="E32" s="288">
        <f>+'FY26 Fringe Rates'!D33</f>
        <v>0.222</v>
      </c>
      <c r="F32" s="188"/>
      <c r="G32" s="189"/>
      <c r="H32" s="183"/>
      <c r="I32" s="189"/>
      <c r="J32" s="189"/>
      <c r="K32" s="189"/>
      <c r="L32" s="189"/>
      <c r="M32" s="189"/>
      <c r="N32" s="190"/>
      <c r="O32" s="126"/>
    </row>
    <row r="33" spans="1:15" x14ac:dyDescent="0.25">
      <c r="A33" s="163"/>
      <c r="B33" s="148"/>
      <c r="C33" s="294"/>
      <c r="D33" s="208"/>
      <c r="E33" s="168"/>
      <c r="F33" s="169"/>
      <c r="G33" s="170"/>
      <c r="H33" s="155"/>
      <c r="I33" s="155"/>
      <c r="J33" s="154"/>
      <c r="K33" s="155"/>
      <c r="L33" s="155"/>
      <c r="M33" s="155"/>
      <c r="N33" s="156">
        <f>+D33*0.5</f>
        <v>0</v>
      </c>
      <c r="O33" s="126"/>
    </row>
    <row r="34" spans="1:15" x14ac:dyDescent="0.25">
      <c r="A34" s="163"/>
      <c r="B34" s="148"/>
      <c r="C34" s="295"/>
      <c r="D34" s="208"/>
      <c r="E34" s="164"/>
      <c r="F34" s="157"/>
      <c r="G34" s="158"/>
      <c r="H34" s="158"/>
      <c r="I34" s="158"/>
      <c r="J34" s="157"/>
      <c r="K34" s="158"/>
      <c r="L34" s="158"/>
      <c r="M34" s="158"/>
      <c r="N34" s="159">
        <f>+D34*0.5</f>
        <v>0</v>
      </c>
      <c r="O34" s="126"/>
    </row>
    <row r="35" spans="1:15" ht="13.8" thickBot="1" x14ac:dyDescent="0.3">
      <c r="A35" s="287" t="s">
        <v>223</v>
      </c>
      <c r="B35" s="172"/>
      <c r="C35" s="213">
        <f>SUM(C33:C34)</f>
        <v>0</v>
      </c>
      <c r="D35" s="172"/>
      <c r="E35" s="173"/>
      <c r="F35" s="174">
        <f>+F34+F33</f>
        <v>0</v>
      </c>
      <c r="G35" s="174">
        <f t="shared" ref="G35:N35" si="16">+G34+G33</f>
        <v>0</v>
      </c>
      <c r="H35" s="174">
        <f t="shared" si="16"/>
        <v>0</v>
      </c>
      <c r="I35" s="174">
        <f t="shared" si="16"/>
        <v>0</v>
      </c>
      <c r="J35" s="174">
        <f t="shared" si="16"/>
        <v>0</v>
      </c>
      <c r="K35" s="174">
        <f t="shared" si="16"/>
        <v>0</v>
      </c>
      <c r="L35" s="174">
        <f t="shared" si="16"/>
        <v>0</v>
      </c>
      <c r="M35" s="174">
        <f t="shared" si="16"/>
        <v>0</v>
      </c>
      <c r="N35" s="174">
        <f t="shared" si="16"/>
        <v>0</v>
      </c>
    </row>
    <row r="36" spans="1:15" x14ac:dyDescent="0.25">
      <c r="A36" s="134" t="s">
        <v>272</v>
      </c>
      <c r="E36" s="121"/>
      <c r="H36" s="127"/>
      <c r="I36" s="127"/>
      <c r="J36" s="127"/>
      <c r="K36" s="127"/>
      <c r="L36" s="127"/>
      <c r="M36" s="127"/>
    </row>
    <row r="37" spans="1:15" x14ac:dyDescent="0.25">
      <c r="A37" s="134" t="s">
        <v>220</v>
      </c>
      <c r="E37" s="121"/>
      <c r="H37" s="127"/>
      <c r="I37" s="127"/>
      <c r="J37" s="127"/>
      <c r="K37" s="127"/>
      <c r="L37" s="127"/>
      <c r="M37" s="127"/>
    </row>
    <row r="38" spans="1:15" x14ac:dyDescent="0.25">
      <c r="E38" s="121"/>
    </row>
    <row r="39" spans="1:15" x14ac:dyDescent="0.25">
      <c r="A39" s="134" t="s">
        <v>221</v>
      </c>
      <c r="E39" s="121"/>
    </row>
    <row r="40" spans="1:15" x14ac:dyDescent="0.25">
      <c r="A40" s="134" t="s">
        <v>224</v>
      </c>
      <c r="E40" s="121"/>
    </row>
    <row r="41" spans="1:15" x14ac:dyDescent="0.25">
      <c r="A41" s="118"/>
      <c r="E41" s="121"/>
    </row>
    <row r="42" spans="1:15" x14ac:dyDescent="0.25">
      <c r="E42" s="121"/>
    </row>
    <row r="43" spans="1:15" x14ac:dyDescent="0.25">
      <c r="E43" s="121"/>
    </row>
    <row r="44" spans="1:15" x14ac:dyDescent="0.25">
      <c r="E44" s="121"/>
    </row>
    <row r="45" spans="1:15" x14ac:dyDescent="0.25">
      <c r="E45" s="120"/>
    </row>
    <row r="46" spans="1:15" x14ac:dyDescent="0.25">
      <c r="E46" s="120"/>
    </row>
    <row r="47" spans="1:15" x14ac:dyDescent="0.25">
      <c r="E47" s="120"/>
    </row>
  </sheetData>
  <mergeCells count="1">
    <mergeCell ref="F3:N3"/>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6A6CA-EE1F-4180-8896-FDD215F89DA7}">
  <dimension ref="A1:M203"/>
  <sheetViews>
    <sheetView showGridLines="0" workbookViewId="0">
      <selection activeCell="C7" sqref="C7"/>
    </sheetView>
  </sheetViews>
  <sheetFormatPr defaultColWidth="8.88671875" defaultRowHeight="13.2" x14ac:dyDescent="0.25"/>
  <cols>
    <col min="1" max="1" width="10.88671875" style="2" customWidth="1"/>
    <col min="2" max="2" width="3.5546875" style="2" customWidth="1"/>
    <col min="3" max="3" width="10.44140625" style="2" customWidth="1"/>
    <col min="4" max="4" width="13.88671875" style="2" customWidth="1"/>
    <col min="5" max="5" width="3.88671875" style="2" customWidth="1"/>
    <col min="6" max="6" width="5.109375" style="2" customWidth="1"/>
    <col min="7" max="7" width="1.5546875" style="2" customWidth="1"/>
    <col min="8" max="8" width="14.5546875" style="6" customWidth="1"/>
    <col min="9" max="9" width="1" style="2" customWidth="1"/>
    <col min="10" max="10" width="12.109375" style="2" customWidth="1"/>
    <col min="11" max="11" width="14.44140625" style="2" customWidth="1"/>
    <col min="12" max="12" width="21" style="6" customWidth="1"/>
    <col min="13" max="13" width="17.5546875" style="2" customWidth="1"/>
    <col min="14" max="16384" width="8.88671875" style="2"/>
  </cols>
  <sheetData>
    <row r="1" spans="1:12" ht="13.8" x14ac:dyDescent="0.25">
      <c r="A1" s="223" t="s">
        <v>231</v>
      </c>
      <c r="E1" s="3" t="s">
        <v>30</v>
      </c>
      <c r="G1" s="321" t="s">
        <v>31</v>
      </c>
      <c r="H1" s="5"/>
    </row>
    <row r="2" spans="1:12" ht="13.8" x14ac:dyDescent="0.25">
      <c r="A2" s="224" t="s">
        <v>232</v>
      </c>
      <c r="G2" s="322" t="s">
        <v>348</v>
      </c>
    </row>
    <row r="3" spans="1:12" x14ac:dyDescent="0.25">
      <c r="A3" s="8" t="s">
        <v>347</v>
      </c>
      <c r="C3" s="8"/>
      <c r="E3" s="3"/>
      <c r="G3" s="322" t="s">
        <v>349</v>
      </c>
      <c r="H3" s="2"/>
      <c r="L3" s="2"/>
    </row>
    <row r="4" spans="1:12" x14ac:dyDescent="0.25">
      <c r="G4" s="322" t="s">
        <v>350</v>
      </c>
    </row>
    <row r="5" spans="1:12" x14ac:dyDescent="0.25">
      <c r="A5" s="3"/>
      <c r="G5" s="322" t="s">
        <v>351</v>
      </c>
    </row>
    <row r="6" spans="1:12" x14ac:dyDescent="0.25">
      <c r="G6" s="3"/>
    </row>
    <row r="7" spans="1:12" ht="15" x14ac:dyDescent="0.25">
      <c r="A7" s="9" t="s">
        <v>38</v>
      </c>
      <c r="C7" s="10"/>
      <c r="D7" s="10"/>
      <c r="E7" s="10"/>
      <c r="F7" s="10"/>
      <c r="G7" s="10"/>
      <c r="H7" s="11"/>
      <c r="I7" s="10"/>
      <c r="J7" s="10"/>
      <c r="K7" s="10"/>
      <c r="L7" s="11"/>
    </row>
    <row r="9" spans="1:12" ht="15" x14ac:dyDescent="0.25">
      <c r="A9" s="9" t="s">
        <v>39</v>
      </c>
      <c r="B9" s="10"/>
      <c r="C9" s="10"/>
      <c r="D9" s="9" t="s">
        <v>40</v>
      </c>
      <c r="F9" s="10"/>
      <c r="G9" s="10"/>
      <c r="H9" s="11"/>
      <c r="I9" s="10"/>
      <c r="J9" s="10"/>
      <c r="K9" s="9" t="s">
        <v>41</v>
      </c>
      <c r="L9" s="10"/>
    </row>
    <row r="10" spans="1:12" ht="15" x14ac:dyDescent="0.25">
      <c r="A10" s="9"/>
      <c r="D10" s="9"/>
      <c r="K10" s="9"/>
    </row>
    <row r="11" spans="1:12" ht="15" x14ac:dyDescent="0.25">
      <c r="A11" s="9" t="s">
        <v>233</v>
      </c>
      <c r="D11" s="9"/>
      <c r="F11" s="10"/>
      <c r="G11" s="10"/>
      <c r="H11" s="11"/>
      <c r="I11" s="10"/>
      <c r="J11" s="10"/>
      <c r="K11" s="9"/>
    </row>
    <row r="12" spans="1:12" ht="15" x14ac:dyDescent="0.25">
      <c r="A12" s="9" t="s">
        <v>234</v>
      </c>
      <c r="D12" s="9"/>
      <c r="K12" s="12"/>
      <c r="L12" s="11"/>
    </row>
    <row r="14" spans="1:12" ht="15.6" x14ac:dyDescent="0.3">
      <c r="A14" s="8" t="s">
        <v>235</v>
      </c>
    </row>
    <row r="15" spans="1:12" x14ac:dyDescent="0.25">
      <c r="A15" s="2" t="s">
        <v>352</v>
      </c>
      <c r="J15" s="8" t="s">
        <v>236</v>
      </c>
      <c r="L15" s="41">
        <f>+'FY26 22 Billing Rate Calc'!AL15</f>
        <v>0</v>
      </c>
    </row>
    <row r="17" spans="1:12" x14ac:dyDescent="0.25">
      <c r="A17" s="2" t="s">
        <v>353</v>
      </c>
      <c r="J17" s="8" t="s">
        <v>236</v>
      </c>
      <c r="L17" s="11"/>
    </row>
    <row r="19" spans="1:12" x14ac:dyDescent="0.25">
      <c r="A19" s="2" t="s">
        <v>365</v>
      </c>
      <c r="J19" s="8" t="s">
        <v>236</v>
      </c>
      <c r="L19" s="11"/>
    </row>
    <row r="21" spans="1:12" x14ac:dyDescent="0.25">
      <c r="A21" s="2" t="s">
        <v>362</v>
      </c>
      <c r="E21" s="2" t="s">
        <v>50</v>
      </c>
      <c r="H21" s="13"/>
      <c r="J21" s="8" t="s">
        <v>236</v>
      </c>
      <c r="L21" s="41">
        <f>+'FY26 22 Billing Rate Calc'!AL16</f>
        <v>0</v>
      </c>
    </row>
    <row r="23" spans="1:12" ht="13.8" thickBot="1" x14ac:dyDescent="0.3">
      <c r="A23" s="14" t="s">
        <v>51</v>
      </c>
      <c r="C23" s="8" t="s">
        <v>52</v>
      </c>
      <c r="J23" s="2" t="s">
        <v>53</v>
      </c>
      <c r="L23" s="15">
        <f>SUM(L15:L21)</f>
        <v>0</v>
      </c>
    </row>
    <row r="24" spans="1:12" ht="13.8" thickTop="1" x14ac:dyDescent="0.25"/>
    <row r="25" spans="1:12" x14ac:dyDescent="0.25">
      <c r="A25" s="8" t="s">
        <v>54</v>
      </c>
    </row>
    <row r="26" spans="1:12" x14ac:dyDescent="0.25">
      <c r="A26" s="2" t="s">
        <v>354</v>
      </c>
      <c r="D26" s="8"/>
      <c r="E26" s="8" t="s">
        <v>56</v>
      </c>
      <c r="L26" s="41">
        <f>+'FY26 22 Billing Rate Calc'!AL20</f>
        <v>0</v>
      </c>
    </row>
    <row r="28" spans="1:12" x14ac:dyDescent="0.25">
      <c r="F28" s="17" t="s">
        <v>20</v>
      </c>
      <c r="G28" s="17"/>
    </row>
    <row r="29" spans="1:12" x14ac:dyDescent="0.25">
      <c r="A29" s="2" t="s">
        <v>57</v>
      </c>
      <c r="F29" s="18" t="s">
        <v>58</v>
      </c>
      <c r="G29" s="17"/>
      <c r="H29" s="19" t="s">
        <v>18</v>
      </c>
      <c r="I29" s="17"/>
      <c r="J29" s="18" t="s">
        <v>20</v>
      </c>
    </row>
    <row r="31" spans="1:12" x14ac:dyDescent="0.25">
      <c r="A31" s="2" t="s">
        <v>355</v>
      </c>
      <c r="F31" s="225">
        <v>28</v>
      </c>
      <c r="G31" s="14"/>
      <c r="H31" s="41">
        <f>+'FY26 22 Billing Rate Calc'!AL24</f>
        <v>0</v>
      </c>
      <c r="J31" s="11">
        <f>H31*F31*0.01</f>
        <v>0</v>
      </c>
      <c r="L31" s="11">
        <f>H31+J31</f>
        <v>0</v>
      </c>
    </row>
    <row r="32" spans="1:12" x14ac:dyDescent="0.25">
      <c r="J32" s="6"/>
    </row>
    <row r="33" spans="1:12" x14ac:dyDescent="0.25">
      <c r="A33" s="2" t="s">
        <v>356</v>
      </c>
      <c r="F33" s="225">
        <v>28</v>
      </c>
      <c r="G33" s="14"/>
      <c r="H33" s="41">
        <f>+'FY26 22 Billing Rate Calc'!AL22</f>
        <v>0</v>
      </c>
      <c r="J33" s="11">
        <f>H33*F33*0.01</f>
        <v>0</v>
      </c>
      <c r="L33" s="11">
        <f>H33+J33</f>
        <v>0</v>
      </c>
    </row>
    <row r="34" spans="1:12" x14ac:dyDescent="0.25">
      <c r="J34" s="6"/>
    </row>
    <row r="35" spans="1:12" x14ac:dyDescent="0.25">
      <c r="A35" s="2" t="s">
        <v>357</v>
      </c>
      <c r="F35" s="225">
        <v>45.8</v>
      </c>
      <c r="G35" s="14"/>
      <c r="H35" s="41">
        <f>+'FY26 22 Billing Rate Calc'!AL28</f>
        <v>0</v>
      </c>
      <c r="J35" s="11">
        <f>H35*F35*0.01</f>
        <v>0</v>
      </c>
      <c r="L35" s="11">
        <f>H35+J35</f>
        <v>0</v>
      </c>
    </row>
    <row r="36" spans="1:12" x14ac:dyDescent="0.25">
      <c r="J36" s="6"/>
    </row>
    <row r="37" spans="1:12" x14ac:dyDescent="0.25">
      <c r="A37" s="2" t="s">
        <v>358</v>
      </c>
      <c r="F37" s="225">
        <v>0.4</v>
      </c>
      <c r="G37" s="14"/>
      <c r="H37" s="41">
        <f>+'FY26 22 Billing Rate Calc'!AL32</f>
        <v>0</v>
      </c>
      <c r="J37" s="11">
        <f>H37*F37*0.01</f>
        <v>0</v>
      </c>
      <c r="L37" s="11">
        <f>H37+J37</f>
        <v>0</v>
      </c>
    </row>
    <row r="38" spans="1:12" x14ac:dyDescent="0.25">
      <c r="J38" s="6"/>
    </row>
    <row r="39" spans="1:12" x14ac:dyDescent="0.25">
      <c r="A39" s="2" t="s">
        <v>366</v>
      </c>
      <c r="H39" s="11">
        <f>+H175</f>
        <v>0</v>
      </c>
      <c r="J39" s="11">
        <f>+J175</f>
        <v>0</v>
      </c>
      <c r="L39" s="11">
        <f>H39+J39</f>
        <v>0</v>
      </c>
    </row>
    <row r="40" spans="1:12" x14ac:dyDescent="0.25">
      <c r="J40" s="6"/>
    </row>
    <row r="41" spans="1:12" ht="13.8" thickBot="1" x14ac:dyDescent="0.3">
      <c r="A41" s="8" t="s">
        <v>237</v>
      </c>
      <c r="H41" s="15">
        <f>SUM(H31:H39)</f>
        <v>0</v>
      </c>
      <c r="J41" s="15">
        <f>SUM(J31:J39)</f>
        <v>0</v>
      </c>
      <c r="L41" s="11">
        <f>H41+J41</f>
        <v>0</v>
      </c>
    </row>
    <row r="42" spans="1:12" ht="13.8" thickTop="1" x14ac:dyDescent="0.25"/>
    <row r="43" spans="1:12" x14ac:dyDescent="0.25">
      <c r="A43" s="2" t="s">
        <v>359</v>
      </c>
      <c r="L43" s="41">
        <f>+'FY26 22 Billing Rate Calc'!AL34</f>
        <v>0</v>
      </c>
    </row>
    <row r="45" spans="1:12" x14ac:dyDescent="0.25">
      <c r="A45" s="2" t="s">
        <v>360</v>
      </c>
      <c r="L45" s="41">
        <f>+'FY26 22 Billing Rate Calc'!AL35</f>
        <v>0</v>
      </c>
    </row>
    <row r="47" spans="1:12" x14ac:dyDescent="0.25">
      <c r="A47" s="2" t="s">
        <v>361</v>
      </c>
    </row>
    <row r="48" spans="1:12" x14ac:dyDescent="0.25">
      <c r="A48" s="2" t="s">
        <v>68</v>
      </c>
    </row>
    <row r="49" spans="1:12" x14ac:dyDescent="0.25">
      <c r="A49" s="2" t="s">
        <v>69</v>
      </c>
      <c r="H49" s="41">
        <f>+'FY26 22 Billing Rate Calc'!AL49+'FY26 22 Billing Rate Calc'!AL52</f>
        <v>0</v>
      </c>
      <c r="I49" s="10"/>
    </row>
    <row r="51" spans="1:12" x14ac:dyDescent="0.25">
      <c r="A51" s="2" t="s">
        <v>70</v>
      </c>
      <c r="H51" s="41">
        <f>+'FY26 22 Billing Rate Calc'!AL48</f>
        <v>0</v>
      </c>
      <c r="I51" s="10"/>
    </row>
    <row r="53" spans="1:12" x14ac:dyDescent="0.25">
      <c r="A53" s="2" t="s">
        <v>71</v>
      </c>
      <c r="H53" s="41">
        <f>+'FY26 22 Billing Rate Calc'!AL50</f>
        <v>0</v>
      </c>
      <c r="I53" s="10"/>
    </row>
    <row r="55" spans="1:12" x14ac:dyDescent="0.25">
      <c r="A55" s="2" t="s">
        <v>238</v>
      </c>
      <c r="H55" s="41">
        <f>+'FY26 22 Billing Rate Calc'!AL55</f>
        <v>0</v>
      </c>
      <c r="I55" s="10"/>
    </row>
    <row r="57" spans="1:12" x14ac:dyDescent="0.25">
      <c r="A57" s="2" t="s">
        <v>239</v>
      </c>
      <c r="H57" s="41">
        <f>+'FY26 22 Billing Rate Calc'!AL56</f>
        <v>0</v>
      </c>
      <c r="I57" s="10"/>
    </row>
    <row r="58" spans="1:12" x14ac:dyDescent="0.25">
      <c r="A58" s="2" t="s">
        <v>387</v>
      </c>
    </row>
    <row r="60" spans="1:12" x14ac:dyDescent="0.25">
      <c r="A60" s="2" t="s">
        <v>369</v>
      </c>
      <c r="H60" s="41">
        <f>+'FY26 22 Billing Rate Calc'!AL51</f>
        <v>0</v>
      </c>
      <c r="I60" s="10"/>
    </row>
    <row r="62" spans="1:12" x14ac:dyDescent="0.25">
      <c r="A62" s="2" t="s">
        <v>75</v>
      </c>
      <c r="C62" s="2" t="s">
        <v>370</v>
      </c>
      <c r="L62" s="11">
        <f>SUM(H49:H60)</f>
        <v>0</v>
      </c>
    </row>
    <row r="64" spans="1:12" x14ac:dyDescent="0.25">
      <c r="A64" s="2" t="s">
        <v>371</v>
      </c>
      <c r="L64" s="41">
        <f>+'FY26 22 Billing Rate Calc'!AL53</f>
        <v>0</v>
      </c>
    </row>
    <row r="66" spans="1:13" x14ac:dyDescent="0.25">
      <c r="A66" s="2" t="s">
        <v>372</v>
      </c>
      <c r="L66" s="41">
        <f>+'FY26 22 Billing Rate Calc'!AL56</f>
        <v>0</v>
      </c>
    </row>
    <row r="68" spans="1:13" x14ac:dyDescent="0.25">
      <c r="A68" s="2" t="s">
        <v>240</v>
      </c>
      <c r="L68" s="41">
        <f>L26+L41+SUM(L43:L66)</f>
        <v>0</v>
      </c>
    </row>
    <row r="70" spans="1:13" x14ac:dyDescent="0.25">
      <c r="A70" s="2" t="s">
        <v>388</v>
      </c>
      <c r="L70" s="11">
        <f>L195</f>
        <v>0</v>
      </c>
    </row>
    <row r="71" spans="1:13" x14ac:dyDescent="0.25">
      <c r="M71" s="134" t="s">
        <v>329</v>
      </c>
    </row>
    <row r="72" spans="1:13" x14ac:dyDescent="0.25">
      <c r="A72" s="2" t="s">
        <v>328</v>
      </c>
      <c r="E72" s="324" t="s">
        <v>373</v>
      </c>
      <c r="H72" s="325">
        <v>0</v>
      </c>
      <c r="L72" s="41">
        <f>+L68*H72*0.01</f>
        <v>0</v>
      </c>
      <c r="M72" s="134" t="s">
        <v>330</v>
      </c>
    </row>
    <row r="74" spans="1:13" ht="13.8" thickBot="1" x14ac:dyDescent="0.3">
      <c r="A74" s="14" t="s">
        <v>307</v>
      </c>
      <c r="D74" s="8" t="s">
        <v>80</v>
      </c>
      <c r="J74" s="2" t="s">
        <v>53</v>
      </c>
      <c r="L74" s="316">
        <f>L68+L70+L72</f>
        <v>0</v>
      </c>
    </row>
    <row r="75" spans="1:13" ht="13.8" thickTop="1" x14ac:dyDescent="0.25">
      <c r="A75" s="8"/>
    </row>
    <row r="76" spans="1:13" x14ac:dyDescent="0.25">
      <c r="A76" s="8" t="s">
        <v>81</v>
      </c>
    </row>
    <row r="78" spans="1:13" x14ac:dyDescent="0.25">
      <c r="A78" s="2" t="s">
        <v>378</v>
      </c>
      <c r="L78" s="11"/>
    </row>
    <row r="80" spans="1:13" x14ac:dyDescent="0.25">
      <c r="A80" s="2" t="s">
        <v>83</v>
      </c>
      <c r="C80" s="2" t="s">
        <v>376</v>
      </c>
      <c r="L80" s="11">
        <f>L23</f>
        <v>0</v>
      </c>
    </row>
    <row r="82" spans="1:12" x14ac:dyDescent="0.25">
      <c r="A82" s="2" t="s">
        <v>85</v>
      </c>
      <c r="C82" s="2" t="s">
        <v>86</v>
      </c>
      <c r="L82" s="11"/>
    </row>
    <row r="84" spans="1:12" x14ac:dyDescent="0.25">
      <c r="A84" s="2" t="s">
        <v>87</v>
      </c>
      <c r="C84" s="2" t="s">
        <v>377</v>
      </c>
      <c r="L84" s="11">
        <f>-L74</f>
        <v>0</v>
      </c>
    </row>
    <row r="86" spans="1:12" x14ac:dyDescent="0.25">
      <c r="A86" s="2" t="s">
        <v>374</v>
      </c>
      <c r="L86" s="11">
        <f>SUM(L77:L84)</f>
        <v>0</v>
      </c>
    </row>
    <row r="88" spans="1:12" x14ac:dyDescent="0.25">
      <c r="A88" s="8" t="s">
        <v>90</v>
      </c>
    </row>
    <row r="90" spans="1:12" x14ac:dyDescent="0.25">
      <c r="A90" s="118" t="s">
        <v>379</v>
      </c>
      <c r="L90" s="11"/>
    </row>
    <row r="92" spans="1:12" x14ac:dyDescent="0.25">
      <c r="A92" s="2" t="s">
        <v>83</v>
      </c>
      <c r="C92" s="2" t="s">
        <v>376</v>
      </c>
      <c r="L92" s="11">
        <f>L23</f>
        <v>0</v>
      </c>
    </row>
    <row r="94" spans="1:12" x14ac:dyDescent="0.25">
      <c r="A94" s="2" t="s">
        <v>85</v>
      </c>
      <c r="C94" s="2" t="s">
        <v>86</v>
      </c>
      <c r="L94" s="11"/>
    </row>
    <row r="96" spans="1:12" x14ac:dyDescent="0.25">
      <c r="C96" s="2" t="s">
        <v>92</v>
      </c>
      <c r="L96" s="11">
        <f>SUM(L90:L94)</f>
        <v>0</v>
      </c>
    </row>
    <row r="98" spans="1:12" x14ac:dyDescent="0.25">
      <c r="A98" s="2" t="s">
        <v>87</v>
      </c>
      <c r="C98" s="2" t="s">
        <v>377</v>
      </c>
      <c r="L98" s="11">
        <f>-L74</f>
        <v>0</v>
      </c>
    </row>
    <row r="100" spans="1:12" x14ac:dyDescent="0.25">
      <c r="A100" s="2" t="s">
        <v>87</v>
      </c>
      <c r="C100" s="2" t="s">
        <v>94</v>
      </c>
      <c r="L100" s="11"/>
    </row>
    <row r="102" spans="1:12" x14ac:dyDescent="0.25">
      <c r="A102" s="2" t="s">
        <v>375</v>
      </c>
      <c r="L102" s="11">
        <f>SUM(L96:L98)-L100</f>
        <v>0</v>
      </c>
    </row>
    <row r="104" spans="1:12" x14ac:dyDescent="0.25">
      <c r="A104" s="8" t="s">
        <v>96</v>
      </c>
      <c r="B104" s="2" t="s">
        <v>241</v>
      </c>
    </row>
    <row r="105" spans="1:12" x14ac:dyDescent="0.25">
      <c r="B105" s="2" t="s">
        <v>380</v>
      </c>
      <c r="L105" s="11"/>
    </row>
    <row r="107" spans="1:12" x14ac:dyDescent="0.25">
      <c r="A107" s="8" t="s">
        <v>98</v>
      </c>
      <c r="D107" s="8" t="s">
        <v>99</v>
      </c>
    </row>
    <row r="108" spans="1:12" ht="12.75" customHeight="1" thickBot="1" x14ac:dyDescent="0.3">
      <c r="A108" s="8" t="s">
        <v>100</v>
      </c>
      <c r="D108" s="8"/>
    </row>
    <row r="109" spans="1:12" x14ac:dyDescent="0.25">
      <c r="A109" s="20"/>
      <c r="B109" s="21"/>
      <c r="C109" s="21"/>
      <c r="D109" s="22"/>
      <c r="E109" s="21"/>
      <c r="F109" s="21"/>
      <c r="G109" s="21"/>
      <c r="H109" s="23"/>
      <c r="I109" s="21"/>
      <c r="J109" s="21"/>
      <c r="K109" s="21"/>
      <c r="L109" s="24"/>
    </row>
    <row r="110" spans="1:12" x14ac:dyDescent="0.25">
      <c r="A110" s="25"/>
      <c r="L110" s="26"/>
    </row>
    <row r="111" spans="1:12" x14ac:dyDescent="0.25">
      <c r="A111" s="27"/>
      <c r="B111" s="10"/>
      <c r="C111" s="10"/>
      <c r="D111" s="10"/>
      <c r="E111" s="10"/>
      <c r="F111" s="10"/>
      <c r="G111" s="10"/>
      <c r="H111" s="11"/>
      <c r="I111" s="10"/>
      <c r="J111" s="10"/>
      <c r="K111" s="10"/>
      <c r="L111" s="28"/>
    </row>
    <row r="112" spans="1:12" x14ac:dyDescent="0.25">
      <c r="A112" s="25" t="s">
        <v>101</v>
      </c>
      <c r="D112" s="2" t="s">
        <v>102</v>
      </c>
      <c r="J112" s="2" t="s">
        <v>103</v>
      </c>
      <c r="L112" s="26" t="s">
        <v>104</v>
      </c>
    </row>
    <row r="113" spans="1:12" x14ac:dyDescent="0.25">
      <c r="A113" s="25"/>
      <c r="L113" s="26"/>
    </row>
    <row r="114" spans="1:12" x14ac:dyDescent="0.25">
      <c r="A114" s="27"/>
      <c r="B114" s="10"/>
      <c r="C114" s="10"/>
      <c r="D114" s="10"/>
      <c r="E114" s="10"/>
      <c r="F114" s="10"/>
      <c r="G114" s="10"/>
      <c r="H114" s="11"/>
      <c r="I114" s="10"/>
      <c r="J114" s="10"/>
      <c r="K114" s="10"/>
      <c r="L114" s="28"/>
    </row>
    <row r="115" spans="1:12" x14ac:dyDescent="0.25">
      <c r="A115" s="25" t="s">
        <v>105</v>
      </c>
      <c r="D115" s="2" t="s">
        <v>102</v>
      </c>
      <c r="J115" s="2" t="s">
        <v>103</v>
      </c>
      <c r="L115" s="26" t="s">
        <v>104</v>
      </c>
    </row>
    <row r="116" spans="1:12" x14ac:dyDescent="0.25">
      <c r="A116" s="25"/>
      <c r="L116" s="26"/>
    </row>
    <row r="117" spans="1:12" x14ac:dyDescent="0.25">
      <c r="A117" s="27"/>
      <c r="B117" s="10"/>
      <c r="C117" s="10"/>
      <c r="D117" s="10"/>
      <c r="E117" s="10"/>
      <c r="F117" s="10"/>
      <c r="G117" s="10"/>
      <c r="H117" s="11"/>
      <c r="I117" s="10"/>
      <c r="J117" s="10"/>
      <c r="K117" s="10"/>
      <c r="L117" s="28"/>
    </row>
    <row r="118" spans="1:12" x14ac:dyDescent="0.25">
      <c r="A118" s="25" t="s">
        <v>106</v>
      </c>
      <c r="D118" s="2" t="s">
        <v>102</v>
      </c>
      <c r="J118" s="2" t="s">
        <v>103</v>
      </c>
      <c r="L118" s="26" t="s">
        <v>104</v>
      </c>
    </row>
    <row r="119" spans="1:12" x14ac:dyDescent="0.25">
      <c r="A119" s="25"/>
      <c r="L119" s="26"/>
    </row>
    <row r="120" spans="1:12" x14ac:dyDescent="0.25">
      <c r="A120" s="27"/>
      <c r="B120" s="10"/>
      <c r="C120" s="10"/>
      <c r="D120" s="10"/>
      <c r="E120" s="10"/>
      <c r="F120" s="10"/>
      <c r="G120" s="10"/>
      <c r="H120" s="11"/>
      <c r="I120" s="10"/>
      <c r="J120" s="10"/>
      <c r="K120" s="10"/>
      <c r="L120" s="28"/>
    </row>
    <row r="121" spans="1:12" x14ac:dyDescent="0.25">
      <c r="A121" s="25" t="s">
        <v>107</v>
      </c>
      <c r="D121" s="2" t="s">
        <v>102</v>
      </c>
      <c r="J121" s="2" t="s">
        <v>103</v>
      </c>
      <c r="L121" s="26" t="s">
        <v>104</v>
      </c>
    </row>
    <row r="122" spans="1:12" x14ac:dyDescent="0.25">
      <c r="A122" s="25" t="s">
        <v>108</v>
      </c>
      <c r="L122" s="26"/>
    </row>
    <row r="123" spans="1:12" x14ac:dyDescent="0.25">
      <c r="A123" s="25"/>
      <c r="L123" s="26"/>
    </row>
    <row r="124" spans="1:12" x14ac:dyDescent="0.25">
      <c r="A124" s="27"/>
      <c r="B124" s="10"/>
      <c r="C124" s="10"/>
      <c r="D124" s="10"/>
      <c r="E124" s="10"/>
      <c r="F124" s="10"/>
      <c r="G124" s="10"/>
      <c r="H124" s="11"/>
      <c r="I124" s="10"/>
      <c r="J124" s="10"/>
      <c r="K124" s="10"/>
      <c r="L124" s="28"/>
    </row>
    <row r="125" spans="1:12" ht="13.8" thickBot="1" x14ac:dyDescent="0.3">
      <c r="A125" s="29" t="s">
        <v>109</v>
      </c>
      <c r="B125" s="30"/>
      <c r="C125" s="226"/>
      <c r="D125" s="226" t="s">
        <v>102</v>
      </c>
      <c r="E125" s="226"/>
      <c r="F125" s="226"/>
      <c r="G125" s="30"/>
      <c r="H125" s="226"/>
      <c r="I125" s="30"/>
      <c r="J125" s="30" t="s">
        <v>103</v>
      </c>
      <c r="K125" s="30"/>
      <c r="L125" s="33" t="s">
        <v>104</v>
      </c>
    </row>
    <row r="131" spans="1:12" ht="17.399999999999999" x14ac:dyDescent="0.3">
      <c r="A131" s="1" t="s">
        <v>242</v>
      </c>
    </row>
    <row r="133" spans="1:12" s="8" customFormat="1" x14ac:dyDescent="0.25">
      <c r="A133" s="8" t="s">
        <v>111</v>
      </c>
      <c r="H133" s="34"/>
      <c r="L133" s="34"/>
    </row>
    <row r="135" spans="1:12" x14ac:dyDescent="0.25">
      <c r="A135" s="8" t="s">
        <v>363</v>
      </c>
    </row>
    <row r="136" spans="1:12" ht="48" customHeight="1" x14ac:dyDescent="0.25">
      <c r="A136" s="334"/>
      <c r="B136" s="334"/>
      <c r="C136" s="334"/>
      <c r="D136" s="334"/>
      <c r="E136" s="334"/>
      <c r="F136" s="334"/>
      <c r="G136" s="334"/>
      <c r="H136" s="334"/>
      <c r="I136" s="334"/>
      <c r="J136" s="334"/>
      <c r="K136" s="334"/>
      <c r="L136" s="334"/>
    </row>
    <row r="137" spans="1:12" x14ac:dyDescent="0.25">
      <c r="A137" s="8" t="s">
        <v>364</v>
      </c>
    </row>
    <row r="138" spans="1:12" ht="48" customHeight="1" x14ac:dyDescent="0.25">
      <c r="A138" s="334"/>
      <c r="B138" s="334"/>
      <c r="C138" s="334"/>
      <c r="D138" s="334"/>
      <c r="E138" s="334"/>
      <c r="F138" s="334"/>
      <c r="G138" s="334"/>
      <c r="H138" s="334"/>
      <c r="I138" s="334"/>
      <c r="J138" s="334"/>
      <c r="K138" s="334"/>
      <c r="L138" s="334"/>
    </row>
    <row r="139" spans="1:12" ht="12.75" customHeight="1" x14ac:dyDescent="0.25">
      <c r="A139" s="323"/>
      <c r="B139" s="323"/>
      <c r="C139" s="323"/>
      <c r="D139" s="323"/>
      <c r="E139" s="323"/>
      <c r="F139" s="323"/>
      <c r="G139" s="323"/>
      <c r="H139" s="323"/>
      <c r="I139" s="323"/>
      <c r="J139" s="323"/>
      <c r="K139" s="323"/>
      <c r="L139" s="323"/>
    </row>
    <row r="140" spans="1:12" s="8" customFormat="1" x14ac:dyDescent="0.25">
      <c r="A140" s="8" t="s">
        <v>115</v>
      </c>
      <c r="H140" s="34"/>
      <c r="L140" s="34"/>
    </row>
    <row r="141" spans="1:12" x14ac:dyDescent="0.25">
      <c r="F141" s="17" t="s">
        <v>20</v>
      </c>
      <c r="G141" s="17"/>
    </row>
    <row r="142" spans="1:12" x14ac:dyDescent="0.25">
      <c r="A142" s="2" t="s">
        <v>116</v>
      </c>
      <c r="F142" s="18" t="s">
        <v>58</v>
      </c>
      <c r="G142" s="17"/>
      <c r="H142" s="19" t="s">
        <v>18</v>
      </c>
      <c r="I142" s="17"/>
      <c r="J142" s="18" t="s">
        <v>20</v>
      </c>
    </row>
    <row r="144" spans="1:12" x14ac:dyDescent="0.25">
      <c r="A144" s="2" t="s">
        <v>117</v>
      </c>
      <c r="F144" s="35">
        <v>28</v>
      </c>
      <c r="H144" s="11"/>
      <c r="I144" s="6"/>
      <c r="J144" s="11">
        <f>H144*F144*0.01</f>
        <v>0</v>
      </c>
      <c r="L144" s="11">
        <f>H144+J144</f>
        <v>0</v>
      </c>
    </row>
    <row r="145" spans="1:12" x14ac:dyDescent="0.25">
      <c r="F145" s="35"/>
      <c r="I145" s="6"/>
      <c r="J145" s="6"/>
    </row>
    <row r="146" spans="1:12" x14ac:dyDescent="0.25">
      <c r="A146" s="2" t="s">
        <v>118</v>
      </c>
      <c r="F146" s="35">
        <v>28</v>
      </c>
      <c r="H146" s="11"/>
      <c r="I146" s="6"/>
      <c r="J146" s="11">
        <f>H146*F146*0.01</f>
        <v>0</v>
      </c>
      <c r="L146" s="11">
        <f>H146+J146</f>
        <v>0</v>
      </c>
    </row>
    <row r="147" spans="1:12" x14ac:dyDescent="0.25">
      <c r="I147" s="6"/>
      <c r="J147" s="6"/>
    </row>
    <row r="148" spans="1:12" x14ac:dyDescent="0.25">
      <c r="A148" s="2" t="s">
        <v>119</v>
      </c>
      <c r="F148" s="35">
        <v>0</v>
      </c>
      <c r="H148" s="11"/>
      <c r="I148" s="6"/>
      <c r="J148" s="11">
        <f>H148*F148*0.01</f>
        <v>0</v>
      </c>
      <c r="L148" s="11">
        <f>H148+J148</f>
        <v>0</v>
      </c>
    </row>
    <row r="149" spans="1:12" x14ac:dyDescent="0.25">
      <c r="F149" s="35"/>
      <c r="I149" s="6"/>
      <c r="J149" s="6"/>
    </row>
    <row r="150" spans="1:12" x14ac:dyDescent="0.25">
      <c r="A150" s="2" t="s">
        <v>120</v>
      </c>
      <c r="F150" s="35">
        <v>0</v>
      </c>
      <c r="H150" s="11"/>
      <c r="I150" s="6"/>
      <c r="J150" s="11">
        <f>H150*F150*0.01</f>
        <v>0</v>
      </c>
      <c r="L150" s="11">
        <f>H150+J150</f>
        <v>0</v>
      </c>
    </row>
    <row r="151" spans="1:12" x14ac:dyDescent="0.25">
      <c r="I151" s="6"/>
      <c r="J151" s="6"/>
    </row>
    <row r="152" spans="1:12" x14ac:dyDescent="0.25">
      <c r="A152" s="2" t="s">
        <v>121</v>
      </c>
      <c r="F152" s="35">
        <v>10.1</v>
      </c>
      <c r="H152" s="11"/>
      <c r="I152" s="6"/>
      <c r="J152" s="11">
        <f>H152*F152*0.01</f>
        <v>0</v>
      </c>
      <c r="L152" s="11">
        <f>H152+J152</f>
        <v>0</v>
      </c>
    </row>
    <row r="153" spans="1:12" x14ac:dyDescent="0.25">
      <c r="I153" s="6"/>
      <c r="J153" s="6"/>
    </row>
    <row r="154" spans="1:12" x14ac:dyDescent="0.25">
      <c r="A154" s="2" t="s">
        <v>122</v>
      </c>
      <c r="F154" s="35">
        <v>10.1</v>
      </c>
      <c r="H154" s="41">
        <f>+'FY26 22 Billing Rate Calc'!AL26</f>
        <v>0</v>
      </c>
      <c r="I154" s="6"/>
      <c r="J154" s="11">
        <f>H154*F154*0.01</f>
        <v>0</v>
      </c>
      <c r="L154" s="11">
        <f>H154+J154</f>
        <v>0</v>
      </c>
    </row>
    <row r="155" spans="1:12" x14ac:dyDescent="0.25">
      <c r="F155" s="35"/>
      <c r="I155" s="6"/>
      <c r="J155" s="6"/>
    </row>
    <row r="156" spans="1:12" x14ac:dyDescent="0.25">
      <c r="A156" s="2" t="s">
        <v>123</v>
      </c>
      <c r="F156" s="35">
        <v>10.1</v>
      </c>
      <c r="H156" s="11"/>
      <c r="I156" s="6"/>
      <c r="J156" s="11">
        <f>H156*F156*0.01</f>
        <v>0</v>
      </c>
      <c r="L156" s="11">
        <f>H156+J156</f>
        <v>0</v>
      </c>
    </row>
    <row r="157" spans="1:12" x14ac:dyDescent="0.25">
      <c r="F157" s="35"/>
      <c r="I157" s="6"/>
      <c r="J157" s="6"/>
    </row>
    <row r="158" spans="1:12" x14ac:dyDescent="0.25">
      <c r="A158" s="2" t="s">
        <v>124</v>
      </c>
      <c r="F158" s="35">
        <v>45.8</v>
      </c>
      <c r="H158" s="11"/>
      <c r="I158" s="6"/>
      <c r="J158" s="11">
        <f>H158*F158*0.01</f>
        <v>0</v>
      </c>
      <c r="L158" s="11">
        <f>H158+J158</f>
        <v>0</v>
      </c>
    </row>
    <row r="159" spans="1:12" x14ac:dyDescent="0.25">
      <c r="F159" s="35"/>
      <c r="I159" s="6"/>
      <c r="J159" s="6"/>
    </row>
    <row r="160" spans="1:12" x14ac:dyDescent="0.25">
      <c r="A160" s="2" t="s">
        <v>125</v>
      </c>
      <c r="F160" s="35">
        <v>13.2</v>
      </c>
      <c r="H160" s="11"/>
      <c r="I160" s="6"/>
      <c r="J160" s="11">
        <f>H160*F160*0.01</f>
        <v>0</v>
      </c>
      <c r="L160" s="11">
        <f>H160+J160</f>
        <v>0</v>
      </c>
    </row>
    <row r="161" spans="1:12" x14ac:dyDescent="0.25">
      <c r="F161" s="35"/>
      <c r="I161" s="6"/>
      <c r="J161" s="6"/>
    </row>
    <row r="162" spans="1:12" x14ac:dyDescent="0.25">
      <c r="A162" s="2" t="s">
        <v>208</v>
      </c>
      <c r="F162" s="246">
        <v>13.2</v>
      </c>
      <c r="H162" s="11"/>
      <c r="I162" s="6"/>
      <c r="J162" s="11">
        <f>H162*F162*0.01</f>
        <v>0</v>
      </c>
      <c r="L162" s="11">
        <f>H162+J162</f>
        <v>0</v>
      </c>
    </row>
    <row r="163" spans="1:12" x14ac:dyDescent="0.25">
      <c r="F163" s="35"/>
      <c r="I163" s="6"/>
      <c r="J163" s="6"/>
    </row>
    <row r="164" spans="1:12" x14ac:dyDescent="0.25">
      <c r="A164" s="2" t="s">
        <v>209</v>
      </c>
      <c r="F164" s="35">
        <v>13.2</v>
      </c>
      <c r="H164" s="11"/>
      <c r="I164" s="6"/>
      <c r="J164" s="11">
        <f>H164*F164*0.01</f>
        <v>0</v>
      </c>
      <c r="L164" s="11">
        <f>H164+J164</f>
        <v>0</v>
      </c>
    </row>
    <row r="165" spans="1:12" x14ac:dyDescent="0.25">
      <c r="F165" s="35"/>
      <c r="I165" s="6"/>
      <c r="J165" s="6"/>
    </row>
    <row r="166" spans="1:12" x14ac:dyDescent="0.25">
      <c r="A166" s="2" t="s">
        <v>210</v>
      </c>
      <c r="F166" s="35">
        <v>13.2</v>
      </c>
      <c r="H166" s="11"/>
      <c r="I166" s="6"/>
      <c r="J166" s="11">
        <f>H166*F166*0.01</f>
        <v>0</v>
      </c>
      <c r="L166" s="11">
        <f>H166+J166</f>
        <v>0</v>
      </c>
    </row>
    <row r="167" spans="1:12" x14ac:dyDescent="0.25">
      <c r="I167" s="6"/>
      <c r="J167" s="6"/>
    </row>
    <row r="168" spans="1:12" x14ac:dyDescent="0.25">
      <c r="A168" s="2" t="s">
        <v>211</v>
      </c>
      <c r="F168" s="35">
        <v>0.4</v>
      </c>
      <c r="H168" s="11"/>
      <c r="I168" s="6"/>
      <c r="J168" s="11">
        <f>H168*F168*0.01</f>
        <v>0</v>
      </c>
      <c r="L168" s="11">
        <f>H168+J168</f>
        <v>0</v>
      </c>
    </row>
    <row r="169" spans="1:12" x14ac:dyDescent="0.25">
      <c r="I169" s="6"/>
      <c r="J169" s="6"/>
    </row>
    <row r="170" spans="1:12" x14ac:dyDescent="0.25">
      <c r="A170" s="2" t="s">
        <v>212</v>
      </c>
      <c r="F170" s="35">
        <v>0</v>
      </c>
      <c r="H170" s="11"/>
      <c r="I170" s="6"/>
      <c r="J170" s="11">
        <f>H170*F170*0.01</f>
        <v>0</v>
      </c>
      <c r="L170" s="11">
        <f>H170+J170</f>
        <v>0</v>
      </c>
    </row>
    <row r="171" spans="1:12" x14ac:dyDescent="0.25">
      <c r="I171" s="6"/>
      <c r="J171" s="6"/>
    </row>
    <row r="172" spans="1:12" x14ac:dyDescent="0.25">
      <c r="A172" s="2" t="s">
        <v>213</v>
      </c>
      <c r="F172" s="35">
        <v>0</v>
      </c>
      <c r="H172" s="11"/>
      <c r="I172" s="6"/>
      <c r="J172" s="11">
        <f>H172*F172*0.01</f>
        <v>0</v>
      </c>
      <c r="L172" s="11">
        <f>H172+J172</f>
        <v>0</v>
      </c>
    </row>
    <row r="173" spans="1:12" x14ac:dyDescent="0.25">
      <c r="F173" s="35"/>
      <c r="I173" s="6"/>
      <c r="J173" s="6"/>
    </row>
    <row r="174" spans="1:12" x14ac:dyDescent="0.25">
      <c r="A174" s="2" t="s">
        <v>243</v>
      </c>
      <c r="F174" s="35">
        <v>22.2</v>
      </c>
      <c r="H174" s="41">
        <f>+'FY26 22 Billing Rate Calc'!AL30</f>
        <v>0</v>
      </c>
      <c r="I174" s="6"/>
      <c r="J174" s="11">
        <f>H174*F174*0.01</f>
        <v>0</v>
      </c>
      <c r="L174" s="11">
        <f>H174+J174</f>
        <v>0</v>
      </c>
    </row>
    <row r="175" spans="1:12" ht="13.8" thickBot="1" x14ac:dyDescent="0.3">
      <c r="C175" s="2" t="s">
        <v>137</v>
      </c>
      <c r="H175" s="15">
        <f>SUM(H144:H174)</f>
        <v>0</v>
      </c>
      <c r="I175" s="6"/>
      <c r="J175" s="15">
        <f>SUM(J144:J174)</f>
        <v>0</v>
      </c>
      <c r="L175" s="15">
        <f>SUM(L144:L174)</f>
        <v>0</v>
      </c>
    </row>
    <row r="176" spans="1:12" ht="13.8" thickTop="1" x14ac:dyDescent="0.25"/>
    <row r="177" spans="1:12" x14ac:dyDescent="0.25">
      <c r="A177" s="8" t="s">
        <v>244</v>
      </c>
    </row>
    <row r="179" spans="1:12" x14ac:dyDescent="0.25">
      <c r="A179" s="2" t="s">
        <v>381</v>
      </c>
      <c r="L179" s="11">
        <f>L68</f>
        <v>0</v>
      </c>
    </row>
    <row r="181" spans="1:12" x14ac:dyDescent="0.25">
      <c r="A181" s="2" t="s">
        <v>245</v>
      </c>
    </row>
    <row r="183" spans="1:12" x14ac:dyDescent="0.25">
      <c r="B183" s="2" t="s">
        <v>246</v>
      </c>
      <c r="C183" s="2" t="s">
        <v>382</v>
      </c>
      <c r="H183" s="11">
        <f>L26</f>
        <v>0</v>
      </c>
    </row>
    <row r="185" spans="1:12" x14ac:dyDescent="0.25">
      <c r="B185" s="2" t="s">
        <v>247</v>
      </c>
      <c r="C185" s="2" t="s">
        <v>383</v>
      </c>
      <c r="H185" s="11">
        <f>H53</f>
        <v>0</v>
      </c>
    </row>
    <row r="187" spans="1:12" x14ac:dyDescent="0.25">
      <c r="B187" s="2" t="s">
        <v>248</v>
      </c>
      <c r="C187" s="2" t="s">
        <v>384</v>
      </c>
      <c r="H187" s="11">
        <f>L64</f>
        <v>0</v>
      </c>
    </row>
    <row r="189" spans="1:12" ht="12.6" customHeight="1" x14ac:dyDescent="0.25">
      <c r="B189" s="2" t="s">
        <v>249</v>
      </c>
      <c r="C189" s="2" t="s">
        <v>385</v>
      </c>
      <c r="H189" s="11">
        <f>L66</f>
        <v>0</v>
      </c>
    </row>
    <row r="191" spans="1:12" x14ac:dyDescent="0.25">
      <c r="C191" s="8" t="s">
        <v>250</v>
      </c>
      <c r="L191" s="11">
        <f>SUM(H183:H189)</f>
        <v>0</v>
      </c>
    </row>
    <row r="193" spans="1:12" x14ac:dyDescent="0.25">
      <c r="A193" s="2" t="s">
        <v>251</v>
      </c>
      <c r="L193" s="11">
        <f>L179-L191</f>
        <v>0</v>
      </c>
    </row>
    <row r="195" spans="1:12" ht="13.8" thickBot="1" x14ac:dyDescent="0.3">
      <c r="A195" s="2" t="s">
        <v>252</v>
      </c>
      <c r="J195" s="2" t="s">
        <v>53</v>
      </c>
      <c r="L195" s="15">
        <f>L193*0.225</f>
        <v>0</v>
      </c>
    </row>
    <row r="196" spans="1:12" ht="13.8" thickTop="1" x14ac:dyDescent="0.25">
      <c r="C196" s="2" t="s">
        <v>253</v>
      </c>
    </row>
    <row r="198" spans="1:12" s="8" customFormat="1" x14ac:dyDescent="0.25">
      <c r="A198" s="8" t="s">
        <v>138</v>
      </c>
      <c r="H198" s="34"/>
      <c r="L198" s="34"/>
    </row>
    <row r="199" spans="1:12" s="8" customFormat="1" x14ac:dyDescent="0.25">
      <c r="A199" s="8" t="s">
        <v>139</v>
      </c>
      <c r="H199" s="34"/>
      <c r="L199" s="34"/>
    </row>
    <row r="200" spans="1:12" ht="48" customHeight="1" x14ac:dyDescent="0.25">
      <c r="A200" s="334"/>
      <c r="B200" s="334"/>
      <c r="C200" s="334"/>
      <c r="D200" s="334"/>
      <c r="E200" s="334"/>
      <c r="F200" s="334"/>
      <c r="G200" s="334"/>
      <c r="H200" s="334"/>
      <c r="I200" s="334"/>
      <c r="J200" s="334"/>
      <c r="K200" s="334"/>
      <c r="L200" s="334"/>
    </row>
    <row r="202" spans="1:12" x14ac:dyDescent="0.25">
      <c r="A202" s="8" t="s">
        <v>386</v>
      </c>
    </row>
    <row r="203" spans="1:12" ht="48" customHeight="1" x14ac:dyDescent="0.25">
      <c r="A203" s="334"/>
      <c r="B203" s="334"/>
      <c r="C203" s="334"/>
      <c r="D203" s="334"/>
      <c r="E203" s="334"/>
      <c r="F203" s="334"/>
      <c r="G203" s="334"/>
      <c r="H203" s="334"/>
      <c r="I203" s="334"/>
      <c r="J203" s="334"/>
      <c r="K203" s="334"/>
      <c r="L203" s="334"/>
    </row>
  </sheetData>
  <mergeCells count="4">
    <mergeCell ref="A200:L200"/>
    <mergeCell ref="A203:L203"/>
    <mergeCell ref="A136:L136"/>
    <mergeCell ref="A138:L138"/>
  </mergeCells>
  <pageMargins left="0.25" right="0.25" top="0.25" bottom="0.23" header="0" footer="0"/>
  <pageSetup scale="90" orientation="portrait" horizontalDpi="4294967292" r:id="rId1"/>
  <headerFooter alignWithMargins="0">
    <oddFooter>Page &amp;P</oddFooter>
  </headerFooter>
  <rowBreaks count="2" manualBreakCount="2">
    <brk id="60" max="65535" man="1"/>
    <brk id="178" max="65535" man="1"/>
  </rowBreaks>
  <ignoredErrors>
    <ignoredError sqref="J162"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74212-1EF0-441E-9265-7D0BA403B38D}">
  <dimension ref="B2:J21"/>
  <sheetViews>
    <sheetView showGridLines="0" topLeftCell="A2" workbookViewId="0">
      <selection activeCell="D6" sqref="D6"/>
    </sheetView>
  </sheetViews>
  <sheetFormatPr defaultColWidth="8.88671875" defaultRowHeight="13.8" x14ac:dyDescent="0.25"/>
  <cols>
    <col min="1" max="1" width="8.88671875" style="298"/>
    <col min="2" max="2" width="21.88671875" style="298" customWidth="1"/>
    <col min="3" max="3" width="12.44140625" style="314" customWidth="1"/>
    <col min="4" max="4" width="15.5546875" style="314" customWidth="1"/>
    <col min="5" max="5" width="13.44140625" style="314" customWidth="1"/>
    <col min="6" max="6" width="14.5546875" style="314" customWidth="1"/>
    <col min="7" max="16384" width="8.88671875" style="298"/>
  </cols>
  <sheetData>
    <row r="2" spans="2:10" ht="32.1" customHeight="1" x14ac:dyDescent="0.25">
      <c r="B2" s="338" t="s">
        <v>324</v>
      </c>
      <c r="C2" s="339"/>
      <c r="D2" s="339"/>
      <c r="E2" s="339"/>
      <c r="F2" s="340"/>
      <c r="G2" s="297"/>
    </row>
    <row r="3" spans="2:10" ht="36.6" customHeight="1" x14ac:dyDescent="0.25">
      <c r="B3" s="341" t="s">
        <v>308</v>
      </c>
      <c r="C3" s="342"/>
      <c r="D3" s="342"/>
      <c r="E3" s="342"/>
      <c r="F3" s="343"/>
      <c r="G3" s="299"/>
    </row>
    <row r="4" spans="2:10" ht="36.6" customHeight="1" x14ac:dyDescent="0.25">
      <c r="B4" s="344" t="s">
        <v>309</v>
      </c>
      <c r="C4" s="345"/>
      <c r="D4" s="345"/>
      <c r="E4" s="345"/>
      <c r="F4" s="346"/>
    </row>
    <row r="5" spans="2:10" ht="19.649999999999999" customHeight="1" x14ac:dyDescent="0.25">
      <c r="B5" s="300"/>
      <c r="C5" s="301" t="s">
        <v>310</v>
      </c>
      <c r="D5" s="301" t="s">
        <v>311</v>
      </c>
      <c r="E5" s="301" t="s">
        <v>312</v>
      </c>
      <c r="F5" s="302" t="s">
        <v>313</v>
      </c>
    </row>
    <row r="6" spans="2:10" ht="17.399999999999999" customHeight="1" x14ac:dyDescent="0.25">
      <c r="B6" s="303" t="s">
        <v>314</v>
      </c>
      <c r="C6" s="304"/>
      <c r="D6" s="305">
        <v>0</v>
      </c>
      <c r="E6" s="306">
        <f>D21</f>
        <v>0</v>
      </c>
      <c r="F6" s="306">
        <f>E21</f>
        <v>0</v>
      </c>
    </row>
    <row r="7" spans="2:10" ht="17.399999999999999" customHeight="1" x14ac:dyDescent="0.25">
      <c r="B7" s="307" t="s">
        <v>315</v>
      </c>
      <c r="C7" s="347"/>
      <c r="D7" s="348"/>
      <c r="E7" s="348"/>
      <c r="F7" s="349"/>
    </row>
    <row r="8" spans="2:10" ht="17.399999999999999" customHeight="1" x14ac:dyDescent="0.25">
      <c r="B8" s="308" t="s">
        <v>323</v>
      </c>
      <c r="C8" s="309">
        <v>0</v>
      </c>
      <c r="D8" s="310">
        <f>+'FY26 22 Billing Rate Calc'!AL15</f>
        <v>0</v>
      </c>
      <c r="E8" s="311">
        <f>D8*$C$8+D8</f>
        <v>0</v>
      </c>
      <c r="F8" s="311">
        <f>E8*$C$8+E8</f>
        <v>0</v>
      </c>
    </row>
    <row r="9" spans="2:10" ht="17.399999999999999" customHeight="1" x14ac:dyDescent="0.25">
      <c r="B9" s="308" t="s">
        <v>316</v>
      </c>
      <c r="C9" s="309">
        <v>0</v>
      </c>
      <c r="D9" s="310">
        <f>+'FY26 22 Billing Rate Calc'!AL16</f>
        <v>0</v>
      </c>
      <c r="E9" s="311">
        <f>D9*$C$9+D9</f>
        <v>0</v>
      </c>
      <c r="F9" s="311">
        <f>E9*$C$9+E9</f>
        <v>0</v>
      </c>
    </row>
    <row r="10" spans="2:10" ht="17.399999999999999" customHeight="1" x14ac:dyDescent="0.25">
      <c r="B10" s="303" t="s">
        <v>188</v>
      </c>
      <c r="C10" s="304"/>
      <c r="D10" s="312">
        <f>SUM(D8:D9)</f>
        <v>0</v>
      </c>
      <c r="E10" s="312">
        <f>SUM(E8:E9)</f>
        <v>0</v>
      </c>
      <c r="F10" s="312">
        <f t="shared" ref="F10" si="0">SUM(F8:F9)</f>
        <v>0</v>
      </c>
    </row>
    <row r="11" spans="2:10" ht="14.4" customHeight="1" x14ac:dyDescent="0.25">
      <c r="B11" s="350"/>
      <c r="C11" s="350"/>
      <c r="D11" s="350"/>
      <c r="E11" s="350"/>
      <c r="F11" s="350"/>
      <c r="J11" s="313"/>
    </row>
    <row r="12" spans="2:10" ht="17.399999999999999" customHeight="1" x14ac:dyDescent="0.25">
      <c r="B12" s="307" t="s">
        <v>317</v>
      </c>
      <c r="C12" s="335"/>
      <c r="D12" s="336"/>
      <c r="E12" s="336"/>
      <c r="F12" s="337"/>
    </row>
    <row r="13" spans="2:10" ht="17.399999999999999" customHeight="1" x14ac:dyDescent="0.25">
      <c r="B13" s="308" t="s">
        <v>318</v>
      </c>
      <c r="C13" s="309">
        <v>0</v>
      </c>
      <c r="D13" s="310">
        <f>+'FY26 22 Billing Rate Calc'!AL21</f>
        <v>0</v>
      </c>
      <c r="E13" s="311">
        <f>D13*$C$13+D13</f>
        <v>0</v>
      </c>
      <c r="F13" s="311">
        <f>E13*$C$13+E13</f>
        <v>0</v>
      </c>
    </row>
    <row r="14" spans="2:10" ht="17.399999999999999" customHeight="1" x14ac:dyDescent="0.25">
      <c r="B14" s="308" t="s">
        <v>319</v>
      </c>
      <c r="C14" s="309">
        <v>0</v>
      </c>
      <c r="D14" s="310">
        <f>+'FY26 22 Billing Rate Calc'!AL35+'FY26 22 Billing Rate Calc'!AL20+'FY26 22 Billing Rate Calc'!AL34</f>
        <v>0</v>
      </c>
      <c r="E14" s="311">
        <f>D14*$C$14+D14</f>
        <v>0</v>
      </c>
      <c r="F14" s="311">
        <f>E14*$C$14+E14</f>
        <v>0</v>
      </c>
      <c r="G14" s="298" t="s">
        <v>390</v>
      </c>
    </row>
    <row r="15" spans="2:10" ht="17.399999999999999" customHeight="1" x14ac:dyDescent="0.25">
      <c r="B15" s="308" t="s">
        <v>26</v>
      </c>
      <c r="C15" s="309">
        <v>0</v>
      </c>
      <c r="D15" s="310">
        <f>+'FY26 22 Billing Rate Calc'!AL34</f>
        <v>0</v>
      </c>
      <c r="E15" s="311"/>
      <c r="F15" s="311"/>
    </row>
    <row r="16" spans="2:10" ht="17.399999999999999" customHeight="1" x14ac:dyDescent="0.25">
      <c r="B16" s="308" t="s">
        <v>22</v>
      </c>
      <c r="C16" s="309">
        <v>0</v>
      </c>
      <c r="D16" s="310">
        <f>+'FY26 22 Billing Rate Calc'!AL47-'FY26 22 Billing Rate Calc'!AL56</f>
        <v>0</v>
      </c>
      <c r="E16" s="310">
        <f>D16*$C$16+D16</f>
        <v>0</v>
      </c>
      <c r="F16" s="310">
        <f>E16*$C$16+E16</f>
        <v>0</v>
      </c>
      <c r="G16" s="298" t="s">
        <v>393</v>
      </c>
    </row>
    <row r="17" spans="2:7" ht="17.399999999999999" customHeight="1" x14ac:dyDescent="0.25">
      <c r="B17" s="308" t="s">
        <v>28</v>
      </c>
      <c r="C17" s="304"/>
      <c r="D17" s="310">
        <f>+'FY26 22 Billing Rate Calc'!AL56</f>
        <v>0</v>
      </c>
      <c r="E17" s="310">
        <v>0</v>
      </c>
      <c r="F17" s="310">
        <v>0</v>
      </c>
      <c r="G17" s="298" t="s">
        <v>391</v>
      </c>
    </row>
    <row r="18" spans="2:7" ht="17.399999999999999" customHeight="1" x14ac:dyDescent="0.25">
      <c r="B18" s="303" t="s">
        <v>192</v>
      </c>
      <c r="C18" s="304"/>
      <c r="D18" s="312">
        <f>SUM(D13:D17)</f>
        <v>0</v>
      </c>
      <c r="E18" s="312">
        <f>SUM(E13:E17)</f>
        <v>0</v>
      </c>
      <c r="F18" s="312">
        <f>SUM(F13:F17)</f>
        <v>0</v>
      </c>
    </row>
    <row r="19" spans="2:7" ht="17.399999999999999" customHeight="1" x14ac:dyDescent="0.25">
      <c r="B19" s="303" t="s">
        <v>321</v>
      </c>
      <c r="C19" s="304"/>
      <c r="D19" s="312">
        <f>+(D18-'FY26 22 Billing Rate Calc'!AL20-'FY26 22 Billing Rate Calc'!AL50-'FY26 22 Billing Rate Calc'!AL53-'FY26 22 Billing Rate Calc'!AL56)*0.225</f>
        <v>0</v>
      </c>
      <c r="E19" s="312">
        <f>+E18*0.225</f>
        <v>0</v>
      </c>
      <c r="F19" s="312">
        <f>+F18*0.225</f>
        <v>0</v>
      </c>
      <c r="G19" s="298" t="s">
        <v>325</v>
      </c>
    </row>
    <row r="20" spans="2:7" ht="17.399999999999999" customHeight="1" x14ac:dyDescent="0.25">
      <c r="B20" s="326" t="s">
        <v>322</v>
      </c>
      <c r="C20" s="315">
        <v>0</v>
      </c>
      <c r="D20" s="312">
        <f>+D18*C20*0.01</f>
        <v>0</v>
      </c>
      <c r="E20" s="312">
        <f>+E18*C20*0.01</f>
        <v>0</v>
      </c>
      <c r="F20" s="312">
        <f>+F18*C20*0.01</f>
        <v>0</v>
      </c>
      <c r="G20" s="298" t="s">
        <v>392</v>
      </c>
    </row>
    <row r="21" spans="2:7" ht="17.399999999999999" customHeight="1" x14ac:dyDescent="0.25">
      <c r="B21" s="303" t="s">
        <v>320</v>
      </c>
      <c r="C21" s="304"/>
      <c r="D21" s="312">
        <f>D6+D10-D18-D19-D20</f>
        <v>0</v>
      </c>
      <c r="E21" s="312">
        <f>E6+E10-E18-E19-E20</f>
        <v>0</v>
      </c>
      <c r="F21" s="312">
        <f>F6+F10-F18-F19-F20</f>
        <v>0</v>
      </c>
    </row>
  </sheetData>
  <mergeCells count="6">
    <mergeCell ref="C12:F12"/>
    <mergeCell ref="B2:F2"/>
    <mergeCell ref="B3:F3"/>
    <mergeCell ref="B4:F4"/>
    <mergeCell ref="C7:F7"/>
    <mergeCell ref="B11:F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8"/>
  <sheetViews>
    <sheetView topLeftCell="A10" workbookViewId="0">
      <selection activeCell="E37" sqref="E37"/>
    </sheetView>
  </sheetViews>
  <sheetFormatPr defaultColWidth="9.109375" defaultRowHeight="14.4" x14ac:dyDescent="0.3"/>
  <cols>
    <col min="1" max="1" width="38" style="45" customWidth="1"/>
    <col min="2" max="2" width="14.88671875" style="45" customWidth="1"/>
    <col min="3" max="3" width="16.44140625" style="45" customWidth="1"/>
    <col min="4" max="4" width="28.88671875" style="45" customWidth="1"/>
    <col min="5" max="5" width="11.44140625" style="45" customWidth="1"/>
    <col min="6" max="16384" width="9.109375" style="45"/>
  </cols>
  <sheetData>
    <row r="1" spans="1:5" ht="15" customHeight="1" x14ac:dyDescent="0.35">
      <c r="A1" s="353" t="s">
        <v>148</v>
      </c>
      <c r="B1" s="353"/>
      <c r="C1" s="353"/>
      <c r="D1" s="353"/>
      <c r="E1" s="83"/>
    </row>
    <row r="2" spans="1:5" ht="15" customHeight="1" x14ac:dyDescent="0.35">
      <c r="A2" s="353"/>
      <c r="B2" s="353"/>
      <c r="C2" s="353"/>
      <c r="D2" s="353"/>
      <c r="E2" s="83"/>
    </row>
    <row r="3" spans="1:5" ht="15" customHeight="1" x14ac:dyDescent="0.35">
      <c r="A3" s="353"/>
      <c r="B3" s="353"/>
      <c r="C3" s="353"/>
      <c r="D3" s="353"/>
      <c r="E3" s="83"/>
    </row>
    <row r="4" spans="1:5" x14ac:dyDescent="0.3">
      <c r="A4" s="46"/>
      <c r="B4" s="46"/>
      <c r="C4" s="46"/>
      <c r="D4" s="46"/>
    </row>
    <row r="5" spans="1:5" ht="28.8" x14ac:dyDescent="0.3">
      <c r="A5" s="79" t="s">
        <v>0</v>
      </c>
      <c r="B5" s="80" t="s">
        <v>1</v>
      </c>
      <c r="C5" s="80" t="s">
        <v>2</v>
      </c>
      <c r="D5" s="81" t="s">
        <v>167</v>
      </c>
    </row>
    <row r="6" spans="1:5" x14ac:dyDescent="0.3">
      <c r="A6" s="47" t="s">
        <v>3</v>
      </c>
      <c r="B6" s="67">
        <f>C6*12</f>
        <v>0</v>
      </c>
      <c r="C6" s="68">
        <v>0</v>
      </c>
      <c r="D6" s="67">
        <v>0</v>
      </c>
    </row>
    <row r="7" spans="1:5" x14ac:dyDescent="0.3">
      <c r="A7" s="47" t="s">
        <v>4</v>
      </c>
      <c r="B7" s="67">
        <f t="shared" ref="B7:B16" si="0">C7*12</f>
        <v>0</v>
      </c>
      <c r="C7" s="68">
        <v>0</v>
      </c>
      <c r="D7" s="67">
        <v>0</v>
      </c>
    </row>
    <row r="8" spans="1:5" x14ac:dyDescent="0.3">
      <c r="A8" s="73" t="s">
        <v>5</v>
      </c>
      <c r="B8" s="70">
        <f t="shared" si="0"/>
        <v>24900</v>
      </c>
      <c r="C8" s="77">
        <f>SUM(C9:C14)</f>
        <v>2075</v>
      </c>
      <c r="D8" s="77">
        <f>SUM(D9:D14)</f>
        <v>127</v>
      </c>
    </row>
    <row r="9" spans="1:5" x14ac:dyDescent="0.3">
      <c r="A9" s="64" t="s">
        <v>159</v>
      </c>
      <c r="B9" s="67">
        <f t="shared" si="0"/>
        <v>3333.070866141732</v>
      </c>
      <c r="C9" s="68">
        <f>D9*D62</f>
        <v>277.75590551181102</v>
      </c>
      <c r="D9" s="68">
        <v>17</v>
      </c>
    </row>
    <row r="10" spans="1:5" x14ac:dyDescent="0.3">
      <c r="A10" s="64" t="s">
        <v>160</v>
      </c>
      <c r="B10" s="67">
        <f t="shared" si="0"/>
        <v>784.25196850393706</v>
      </c>
      <c r="C10" s="68">
        <f>D10*D63</f>
        <v>65.354330708661422</v>
      </c>
      <c r="D10" s="68">
        <v>4</v>
      </c>
    </row>
    <row r="11" spans="1:5" x14ac:dyDescent="0.3">
      <c r="A11" s="64" t="s">
        <v>161</v>
      </c>
      <c r="B11" s="67">
        <f t="shared" si="0"/>
        <v>6666.1417322834641</v>
      </c>
      <c r="C11" s="89">
        <f>D11*D64*2</f>
        <v>555.51181102362204</v>
      </c>
      <c r="D11" s="68">
        <v>34</v>
      </c>
    </row>
    <row r="12" spans="1:5" x14ac:dyDescent="0.3">
      <c r="A12" s="64" t="s">
        <v>162</v>
      </c>
      <c r="B12" s="67">
        <f t="shared" si="0"/>
        <v>1764.5669291338586</v>
      </c>
      <c r="C12" s="68">
        <f>D12*D65</f>
        <v>147.04724409448821</v>
      </c>
      <c r="D12" s="92">
        <v>9</v>
      </c>
    </row>
    <row r="13" spans="1:5" x14ac:dyDescent="0.3">
      <c r="A13" s="64" t="s">
        <v>163</v>
      </c>
      <c r="B13" s="67">
        <f t="shared" si="0"/>
        <v>588.18897637795283</v>
      </c>
      <c r="C13" s="68">
        <f>D13*D66</f>
        <v>49.015748031496067</v>
      </c>
      <c r="D13" s="68">
        <v>3</v>
      </c>
    </row>
    <row r="14" spans="1:5" x14ac:dyDescent="0.3">
      <c r="A14" s="64" t="s">
        <v>164</v>
      </c>
      <c r="B14" s="67">
        <f t="shared" si="0"/>
        <v>11763.779527559056</v>
      </c>
      <c r="C14" s="68">
        <f>D14*D67*2</f>
        <v>980.3149606299213</v>
      </c>
      <c r="D14" s="68">
        <v>60</v>
      </c>
    </row>
    <row r="15" spans="1:5" x14ac:dyDescent="0.3">
      <c r="A15" s="64" t="s">
        <v>179</v>
      </c>
      <c r="B15" s="67">
        <f t="shared" ref="B15" si="1">C15*12</f>
        <v>16469.291338582676</v>
      </c>
      <c r="C15" s="68">
        <f>D15*D68*2</f>
        <v>1372.4409448818897</v>
      </c>
      <c r="D15" s="68">
        <v>15</v>
      </c>
    </row>
    <row r="16" spans="1:5" x14ac:dyDescent="0.3">
      <c r="A16" s="47" t="s">
        <v>6</v>
      </c>
      <c r="B16" s="67">
        <f t="shared" si="0"/>
        <v>0</v>
      </c>
      <c r="C16" s="68">
        <v>0</v>
      </c>
      <c r="D16" s="67">
        <v>0</v>
      </c>
    </row>
    <row r="17" spans="1:4" ht="15" thickBot="1" x14ac:dyDescent="0.35">
      <c r="A17" s="48" t="s">
        <v>7</v>
      </c>
      <c r="B17" s="69">
        <f>SUM(B6:B8)+B16</f>
        <v>24900</v>
      </c>
      <c r="C17" s="69">
        <f>SUM(C6:C8)+C16</f>
        <v>2075</v>
      </c>
      <c r="D17" s="69">
        <f>SUM(D6:D8)+D16</f>
        <v>127</v>
      </c>
    </row>
    <row r="18" spans="1:4" ht="15" thickTop="1" x14ac:dyDescent="0.3"/>
    <row r="19" spans="1:4" hidden="1" x14ac:dyDescent="0.3"/>
    <row r="23" spans="1:4" x14ac:dyDescent="0.3">
      <c r="A23" s="63" t="s">
        <v>8</v>
      </c>
      <c r="B23" s="49"/>
      <c r="C23" s="49"/>
      <c r="D23" s="49"/>
    </row>
    <row r="24" spans="1:4" x14ac:dyDescent="0.3">
      <c r="A24" s="47" t="s">
        <v>9</v>
      </c>
      <c r="B24" s="66">
        <f t="shared" ref="B24" si="2">C24*12</f>
        <v>0</v>
      </c>
      <c r="C24" s="66">
        <v>0</v>
      </c>
    </row>
    <row r="25" spans="1:4" x14ac:dyDescent="0.3">
      <c r="A25" s="47"/>
      <c r="B25" s="65"/>
      <c r="C25" s="65"/>
    </row>
    <row r="26" spans="1:4" x14ac:dyDescent="0.3">
      <c r="A26" s="47" t="s">
        <v>154</v>
      </c>
      <c r="B26" s="77">
        <f>C26*12</f>
        <v>18360</v>
      </c>
      <c r="C26" s="93">
        <f>C27+C30</f>
        <v>1530</v>
      </c>
    </row>
    <row r="27" spans="1:4" x14ac:dyDescent="0.3">
      <c r="A27" s="50" t="s">
        <v>149</v>
      </c>
      <c r="B27" s="68">
        <f>C27*12</f>
        <v>2784</v>
      </c>
      <c r="C27" s="90">
        <f>SUM(C28:C29)</f>
        <v>232</v>
      </c>
      <c r="D27" s="45" t="s">
        <v>150</v>
      </c>
    </row>
    <row r="28" spans="1:4" x14ac:dyDescent="0.3">
      <c r="A28" s="94" t="s">
        <v>181</v>
      </c>
      <c r="B28" s="68">
        <f t="shared" ref="B28:B32" si="3">C28*12</f>
        <v>564</v>
      </c>
      <c r="C28" s="68">
        <f>ROUNDUP((C29*0.254),0)</f>
        <v>47</v>
      </c>
    </row>
    <row r="29" spans="1:4" x14ac:dyDescent="0.3">
      <c r="A29" s="91" t="s">
        <v>183</v>
      </c>
      <c r="B29" s="68">
        <f t="shared" si="3"/>
        <v>2220</v>
      </c>
      <c r="C29" s="90">
        <v>185</v>
      </c>
    </row>
    <row r="30" spans="1:4" x14ac:dyDescent="0.3">
      <c r="A30" s="50" t="s">
        <v>151</v>
      </c>
      <c r="B30" s="68">
        <f t="shared" si="3"/>
        <v>15576</v>
      </c>
      <c r="C30" s="68">
        <f>SUM(C31:C32)</f>
        <v>1298</v>
      </c>
    </row>
    <row r="31" spans="1:4" x14ac:dyDescent="0.3">
      <c r="A31" s="52" t="s">
        <v>152</v>
      </c>
      <c r="B31" s="68">
        <f t="shared" si="3"/>
        <v>15444</v>
      </c>
      <c r="C31" s="90">
        <f>ROUNDUP(((3830.36+30.64)/3),0)</f>
        <v>1287</v>
      </c>
    </row>
    <row r="32" spans="1:4" x14ac:dyDescent="0.3">
      <c r="A32" s="95" t="s">
        <v>182</v>
      </c>
      <c r="B32" s="68">
        <f t="shared" si="3"/>
        <v>132</v>
      </c>
      <c r="C32" s="68">
        <f>ROUNDUP((0.008*C31),0)</f>
        <v>11</v>
      </c>
    </row>
    <row r="33" spans="1:3" x14ac:dyDescent="0.3">
      <c r="B33" s="68"/>
      <c r="C33" s="68"/>
    </row>
    <row r="34" spans="1:3" x14ac:dyDescent="0.3">
      <c r="A34" s="53"/>
      <c r="B34" s="67"/>
      <c r="C34" s="67"/>
    </row>
    <row r="35" spans="1:3" x14ac:dyDescent="0.3">
      <c r="A35" s="47" t="s">
        <v>10</v>
      </c>
      <c r="B35" s="67">
        <f t="shared" ref="B35" si="4">C35*12</f>
        <v>0</v>
      </c>
      <c r="C35" s="67">
        <v>0</v>
      </c>
    </row>
    <row r="36" spans="1:3" x14ac:dyDescent="0.3">
      <c r="A36" s="47"/>
      <c r="B36" s="67"/>
      <c r="C36" s="67"/>
    </row>
    <row r="37" spans="1:3" x14ac:dyDescent="0.3">
      <c r="A37" s="54" t="s">
        <v>28</v>
      </c>
      <c r="B37" s="67">
        <f t="shared" ref="B37" si="5">C37*12</f>
        <v>0</v>
      </c>
      <c r="C37" s="67">
        <v>0</v>
      </c>
    </row>
    <row r="38" spans="1:3" x14ac:dyDescent="0.3">
      <c r="A38" s="54"/>
      <c r="B38" s="67"/>
      <c r="C38" s="67"/>
    </row>
    <row r="39" spans="1:3" x14ac:dyDescent="0.3">
      <c r="A39" s="47" t="s">
        <v>11</v>
      </c>
      <c r="B39" s="67">
        <f t="shared" ref="B39" si="6">C39*12</f>
        <v>6240</v>
      </c>
      <c r="C39" s="68">
        <f>206+60+5+33+135+81</f>
        <v>520</v>
      </c>
    </row>
    <row r="40" spans="1:3" x14ac:dyDescent="0.3">
      <c r="A40" s="47"/>
      <c r="B40" s="67"/>
      <c r="C40" s="67"/>
    </row>
    <row r="41" spans="1:3" x14ac:dyDescent="0.3">
      <c r="A41" s="47" t="s">
        <v>22</v>
      </c>
      <c r="B41" s="67">
        <f t="shared" ref="B41:B47" si="7">C41*12</f>
        <v>300</v>
      </c>
      <c r="C41" s="68">
        <f>SUM(C42:C47)</f>
        <v>25</v>
      </c>
    </row>
    <row r="42" spans="1:3" x14ac:dyDescent="0.3">
      <c r="A42" s="51" t="s">
        <v>153</v>
      </c>
      <c r="B42" s="67">
        <f t="shared" si="7"/>
        <v>300</v>
      </c>
      <c r="C42" s="68">
        <v>25</v>
      </c>
    </row>
    <row r="43" spans="1:3" x14ac:dyDescent="0.3">
      <c r="A43" s="51" t="s">
        <v>155</v>
      </c>
      <c r="B43" s="67">
        <f t="shared" si="7"/>
        <v>0</v>
      </c>
      <c r="C43" s="68">
        <v>0</v>
      </c>
    </row>
    <row r="44" spans="1:3" x14ac:dyDescent="0.3">
      <c r="A44" s="51" t="s">
        <v>156</v>
      </c>
      <c r="B44" s="67">
        <f t="shared" si="7"/>
        <v>0</v>
      </c>
      <c r="C44" s="68">
        <v>0</v>
      </c>
    </row>
    <row r="45" spans="1:3" x14ac:dyDescent="0.3">
      <c r="A45" s="51" t="s">
        <v>21</v>
      </c>
      <c r="B45" s="67">
        <f t="shared" si="7"/>
        <v>0</v>
      </c>
      <c r="C45" s="68">
        <v>0</v>
      </c>
    </row>
    <row r="46" spans="1:3" x14ac:dyDescent="0.3">
      <c r="A46" s="51" t="s">
        <v>157</v>
      </c>
      <c r="B46" s="67">
        <f t="shared" si="7"/>
        <v>0</v>
      </c>
      <c r="C46" s="68">
        <v>0</v>
      </c>
    </row>
    <row r="47" spans="1:3" x14ac:dyDescent="0.3">
      <c r="A47" s="51" t="s">
        <v>158</v>
      </c>
      <c r="B47" s="67">
        <f t="shared" si="7"/>
        <v>0</v>
      </c>
      <c r="C47" s="68">
        <v>0</v>
      </c>
    </row>
    <row r="48" spans="1:3" x14ac:dyDescent="0.3">
      <c r="A48" s="47"/>
      <c r="B48" s="67"/>
      <c r="C48" s="68"/>
    </row>
    <row r="49" spans="1:4" s="62" customFormat="1" ht="15" thickBot="1" x14ac:dyDescent="0.35">
      <c r="A49" s="48" t="s">
        <v>12</v>
      </c>
      <c r="B49" s="69">
        <f>C49*12</f>
        <v>24900</v>
      </c>
      <c r="C49" s="69">
        <f>C41+C39+C37+C35+C26+C24</f>
        <v>2075</v>
      </c>
    </row>
    <row r="50" spans="1:4" ht="15" thickTop="1" x14ac:dyDescent="0.3"/>
    <row r="51" spans="1:4" x14ac:dyDescent="0.3">
      <c r="A51" s="47"/>
    </row>
    <row r="52" spans="1:4" x14ac:dyDescent="0.3">
      <c r="A52" s="47"/>
    </row>
    <row r="53" spans="1:4" x14ac:dyDescent="0.3">
      <c r="A53" s="63" t="s">
        <v>165</v>
      </c>
      <c r="B53" s="49"/>
      <c r="C53" s="49"/>
    </row>
    <row r="54" spans="1:4" x14ac:dyDescent="0.3">
      <c r="A54" s="54" t="s">
        <v>168</v>
      </c>
      <c r="B54" s="76">
        <f>C49</f>
        <v>2075</v>
      </c>
    </row>
    <row r="55" spans="1:4" x14ac:dyDescent="0.3">
      <c r="A55" s="71" t="s">
        <v>166</v>
      </c>
      <c r="B55" s="72">
        <f>D17</f>
        <v>127</v>
      </c>
    </row>
    <row r="56" spans="1:4" x14ac:dyDescent="0.3">
      <c r="A56" s="74" t="s">
        <v>169</v>
      </c>
      <c r="B56" s="88">
        <f>B54/B55</f>
        <v>16.338582677165356</v>
      </c>
    </row>
    <row r="60" spans="1:4" x14ac:dyDescent="0.3">
      <c r="A60" s="75" t="s">
        <v>170</v>
      </c>
      <c r="B60" s="49"/>
      <c r="C60" s="49"/>
      <c r="D60" s="49"/>
    </row>
    <row r="61" spans="1:4" s="78" customFormat="1" x14ac:dyDescent="0.25">
      <c r="A61" s="58" t="s">
        <v>171</v>
      </c>
      <c r="B61" s="354" t="s">
        <v>172</v>
      </c>
      <c r="C61" s="354"/>
      <c r="D61" s="82" t="s">
        <v>180</v>
      </c>
    </row>
    <row r="62" spans="1:4" x14ac:dyDescent="0.3">
      <c r="A62" s="64" t="s">
        <v>159</v>
      </c>
      <c r="B62" s="352">
        <v>1</v>
      </c>
      <c r="C62" s="352"/>
      <c r="D62" s="65">
        <f>$B$56*B62</f>
        <v>16.338582677165356</v>
      </c>
    </row>
    <row r="63" spans="1:4" x14ac:dyDescent="0.3">
      <c r="A63" s="64" t="s">
        <v>160</v>
      </c>
      <c r="B63" s="352">
        <v>1</v>
      </c>
      <c r="C63" s="352"/>
      <c r="D63" s="65">
        <f t="shared" ref="D63:D67" si="8">$B$56*B63</f>
        <v>16.338582677165356</v>
      </c>
    </row>
    <row r="64" spans="1:4" x14ac:dyDescent="0.3">
      <c r="A64" s="64" t="s">
        <v>161</v>
      </c>
      <c r="B64" s="352">
        <v>0.5</v>
      </c>
      <c r="C64" s="352"/>
      <c r="D64" s="65">
        <f t="shared" si="8"/>
        <v>8.1692913385826778</v>
      </c>
    </row>
    <row r="65" spans="1:4" x14ac:dyDescent="0.3">
      <c r="A65" s="64" t="s">
        <v>162</v>
      </c>
      <c r="B65" s="352">
        <v>1</v>
      </c>
      <c r="C65" s="352"/>
      <c r="D65" s="65">
        <f t="shared" si="8"/>
        <v>16.338582677165356</v>
      </c>
    </row>
    <row r="66" spans="1:4" x14ac:dyDescent="0.3">
      <c r="A66" s="64" t="s">
        <v>163</v>
      </c>
      <c r="B66" s="352">
        <v>1</v>
      </c>
      <c r="C66" s="352"/>
      <c r="D66" s="65">
        <f t="shared" si="8"/>
        <v>16.338582677165356</v>
      </c>
    </row>
    <row r="67" spans="1:4" x14ac:dyDescent="0.3">
      <c r="A67" s="64" t="s">
        <v>164</v>
      </c>
      <c r="B67" s="352">
        <v>0.5</v>
      </c>
      <c r="C67" s="352"/>
      <c r="D67" s="65">
        <f t="shared" si="8"/>
        <v>8.1692913385826778</v>
      </c>
    </row>
    <row r="68" spans="1:4" x14ac:dyDescent="0.3">
      <c r="A68" s="64" t="s">
        <v>179</v>
      </c>
      <c r="B68" s="351">
        <v>2.8</v>
      </c>
      <c r="C68" s="351"/>
      <c r="D68" s="65">
        <f t="shared" ref="D68" si="9">$B$56*B68</f>
        <v>45.748031496062993</v>
      </c>
    </row>
  </sheetData>
  <mergeCells count="9">
    <mergeCell ref="B68:C68"/>
    <mergeCell ref="B67:C67"/>
    <mergeCell ref="B66:C66"/>
    <mergeCell ref="B65:C65"/>
    <mergeCell ref="A1:D3"/>
    <mergeCell ref="B61:C61"/>
    <mergeCell ref="B62:C62"/>
    <mergeCell ref="B63:C63"/>
    <mergeCell ref="B64:C64"/>
  </mergeCells>
  <pageMargins left="0.7" right="0.7"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workbookViewId="0">
      <selection activeCell="A2" sqref="A2:F2"/>
    </sheetView>
  </sheetViews>
  <sheetFormatPr defaultColWidth="9.109375" defaultRowHeight="14.4" x14ac:dyDescent="0.3"/>
  <cols>
    <col min="1" max="1" width="27.44140625" style="45" bestFit="1" customWidth="1"/>
    <col min="2" max="2" width="12.5546875" style="45" bestFit="1" customWidth="1"/>
    <col min="3" max="3" width="9.109375" style="45"/>
    <col min="4" max="4" width="12.5546875" style="45" bestFit="1" customWidth="1"/>
    <col min="5" max="5" width="9.109375" style="45"/>
    <col min="6" max="6" width="12.5546875" style="45" bestFit="1" customWidth="1"/>
    <col min="7" max="16384" width="9.109375" style="45"/>
  </cols>
  <sheetData>
    <row r="1" spans="1:6" ht="18" x14ac:dyDescent="0.3">
      <c r="A1" s="355" t="s">
        <v>13</v>
      </c>
      <c r="B1" s="355"/>
      <c r="C1" s="355"/>
      <c r="D1" s="355"/>
      <c r="E1" s="355"/>
      <c r="F1" s="355"/>
    </row>
    <row r="2" spans="1:6" ht="18" x14ac:dyDescent="0.3">
      <c r="A2" s="356" t="s">
        <v>143</v>
      </c>
      <c r="B2" s="356"/>
      <c r="C2" s="356"/>
      <c r="D2" s="356"/>
      <c r="E2" s="356"/>
      <c r="F2" s="356"/>
    </row>
    <row r="3" spans="1:6" x14ac:dyDescent="0.3">
      <c r="A3" s="55"/>
      <c r="B3" s="55"/>
      <c r="C3" s="55"/>
      <c r="D3" s="55"/>
      <c r="E3" s="55"/>
      <c r="F3" s="55"/>
    </row>
    <row r="4" spans="1:6" x14ac:dyDescent="0.3">
      <c r="A4" s="55"/>
      <c r="B4" s="56" t="s">
        <v>14</v>
      </c>
      <c r="C4" s="55"/>
      <c r="D4" s="56" t="s">
        <v>15</v>
      </c>
      <c r="E4" s="55"/>
      <c r="F4" s="56" t="s">
        <v>144</v>
      </c>
    </row>
    <row r="6" spans="1:6" x14ac:dyDescent="0.3">
      <c r="A6" s="57" t="s">
        <v>16</v>
      </c>
      <c r="B6" s="72">
        <v>0</v>
      </c>
      <c r="C6" s="84"/>
      <c r="D6" s="72">
        <f>B21</f>
        <v>0</v>
      </c>
      <c r="E6" s="84"/>
      <c r="F6" s="72">
        <f>D21</f>
        <v>0</v>
      </c>
    </row>
    <row r="7" spans="1:6" x14ac:dyDescent="0.3">
      <c r="A7" s="55"/>
      <c r="B7" s="84"/>
      <c r="C7" s="84"/>
      <c r="D7" s="84"/>
      <c r="E7" s="84"/>
      <c r="F7" s="84"/>
    </row>
    <row r="8" spans="1:6" x14ac:dyDescent="0.3">
      <c r="A8" s="58" t="s">
        <v>0</v>
      </c>
      <c r="B8" s="72">
        <f>'FY26 22 Billing Rate Calc'!AL17</f>
        <v>0</v>
      </c>
      <c r="C8" s="84"/>
      <c r="D8" s="72">
        <f>B8*1.03</f>
        <v>0</v>
      </c>
      <c r="E8" s="84"/>
      <c r="F8" s="72">
        <f>D8*1.03</f>
        <v>0</v>
      </c>
    </row>
    <row r="9" spans="1:6" x14ac:dyDescent="0.3">
      <c r="A9" s="58"/>
      <c r="B9" s="84"/>
      <c r="C9" s="84"/>
      <c r="D9" s="84"/>
      <c r="E9" s="84"/>
      <c r="F9" s="84"/>
    </row>
    <row r="10" spans="1:6" x14ac:dyDescent="0.3">
      <c r="A10" s="58" t="s">
        <v>17</v>
      </c>
      <c r="B10" s="84"/>
      <c r="C10" s="84"/>
      <c r="D10" s="84"/>
      <c r="E10" s="84"/>
      <c r="F10" s="84"/>
    </row>
    <row r="11" spans="1:6" x14ac:dyDescent="0.3">
      <c r="A11" s="59" t="s">
        <v>25</v>
      </c>
      <c r="B11" s="84">
        <f>'FY26 22 Billing Rate Calc'!AL20</f>
        <v>0</v>
      </c>
      <c r="C11" s="84"/>
      <c r="D11" s="84">
        <f>B11*1.03</f>
        <v>0</v>
      </c>
      <c r="E11" s="84"/>
      <c r="F11" s="84">
        <f>D11*1.03</f>
        <v>0</v>
      </c>
    </row>
    <row r="12" spans="1:6" x14ac:dyDescent="0.3">
      <c r="A12" s="59" t="s">
        <v>18</v>
      </c>
      <c r="B12" s="84">
        <f>B13+B14</f>
        <v>0</v>
      </c>
      <c r="C12" s="84"/>
      <c r="D12" s="84">
        <f>D13+D14</f>
        <v>0</v>
      </c>
      <c r="E12" s="84"/>
      <c r="F12" s="84">
        <f>F13+F14</f>
        <v>0</v>
      </c>
    </row>
    <row r="13" spans="1:6" x14ac:dyDescent="0.3">
      <c r="A13" s="60" t="s">
        <v>19</v>
      </c>
      <c r="B13" s="84">
        <f>'FY26 22 Billing Rate Calc'!AL22+'FY26 22 Billing Rate Calc'!AL32</f>
        <v>0</v>
      </c>
      <c r="C13" s="84"/>
      <c r="D13" s="84">
        <f t="shared" ref="D13:D18" si="0">B13*1.03</f>
        <v>0</v>
      </c>
      <c r="E13" s="84"/>
      <c r="F13" s="84">
        <f t="shared" ref="F13:F18" si="1">D13*1.03</f>
        <v>0</v>
      </c>
    </row>
    <row r="14" spans="1:6" x14ac:dyDescent="0.3">
      <c r="A14" s="60" t="s">
        <v>20</v>
      </c>
      <c r="B14" s="84">
        <f>'FY26 22 Billing Rate Calc'!AL23+'FY26 22 Billing Rate Calc'!AL33</f>
        <v>0</v>
      </c>
      <c r="C14" s="84"/>
      <c r="D14" s="84">
        <f t="shared" si="0"/>
        <v>0</v>
      </c>
      <c r="E14" s="84"/>
      <c r="F14" s="84">
        <f t="shared" si="1"/>
        <v>0</v>
      </c>
    </row>
    <row r="15" spans="1:6" hidden="1" x14ac:dyDescent="0.3">
      <c r="A15" s="59" t="s">
        <v>26</v>
      </c>
      <c r="B15" s="84">
        <f>'FY26 22 Billing Rate Calc'!AL20</f>
        <v>0</v>
      </c>
      <c r="C15" s="84"/>
      <c r="D15" s="84">
        <f t="shared" si="0"/>
        <v>0</v>
      </c>
      <c r="E15" s="84"/>
      <c r="F15" s="84">
        <f t="shared" si="1"/>
        <v>0</v>
      </c>
    </row>
    <row r="16" spans="1:6" hidden="1" x14ac:dyDescent="0.3">
      <c r="A16" s="59" t="s">
        <v>28</v>
      </c>
      <c r="B16" s="84">
        <v>0</v>
      </c>
      <c r="C16" s="84"/>
      <c r="D16" s="84">
        <f t="shared" si="0"/>
        <v>0</v>
      </c>
      <c r="E16" s="84"/>
      <c r="F16" s="84">
        <f t="shared" si="1"/>
        <v>0</v>
      </c>
    </row>
    <row r="17" spans="1:6" x14ac:dyDescent="0.3">
      <c r="A17" s="59" t="s">
        <v>27</v>
      </c>
      <c r="B17" s="84">
        <f>'FY26 22 Billing Rate Calc'!AL35</f>
        <v>0</v>
      </c>
      <c r="C17" s="84"/>
      <c r="D17" s="84">
        <f t="shared" si="0"/>
        <v>0</v>
      </c>
      <c r="E17" s="84"/>
      <c r="F17" s="84">
        <f t="shared" si="1"/>
        <v>0</v>
      </c>
    </row>
    <row r="18" spans="1:6" x14ac:dyDescent="0.3">
      <c r="A18" s="59" t="s">
        <v>22</v>
      </c>
      <c r="B18" s="72">
        <f>'FY26 22 Billing Rate Calc'!AL47</f>
        <v>0</v>
      </c>
      <c r="C18" s="84"/>
      <c r="D18" s="72">
        <f t="shared" si="0"/>
        <v>0</v>
      </c>
      <c r="E18" s="84"/>
      <c r="F18" s="72">
        <f t="shared" si="1"/>
        <v>0</v>
      </c>
    </row>
    <row r="19" spans="1:6" x14ac:dyDescent="0.3">
      <c r="A19" s="61" t="s">
        <v>23</v>
      </c>
      <c r="B19" s="84">
        <f>SUM(B15:B18)+SUM(B11:B12)</f>
        <v>0</v>
      </c>
      <c r="C19" s="84"/>
      <c r="D19" s="84">
        <f>SUM(D15:D18)+SUM(D11:D12)</f>
        <v>0</v>
      </c>
      <c r="E19" s="84"/>
      <c r="F19" s="84">
        <f>SUM(F15:F18)+SUM(F11:F12)</f>
        <v>0</v>
      </c>
    </row>
    <row r="20" spans="1:6" x14ac:dyDescent="0.3">
      <c r="A20" s="59"/>
    </row>
    <row r="21" spans="1:6" x14ac:dyDescent="0.3">
      <c r="A21" s="57" t="s">
        <v>24</v>
      </c>
      <c r="B21" s="84">
        <f>B6+B8-B19</f>
        <v>0</v>
      </c>
      <c r="D21" s="84">
        <f>D6+D8-D19</f>
        <v>0</v>
      </c>
      <c r="F21" s="84">
        <f>F6+F8-F19</f>
        <v>0</v>
      </c>
    </row>
    <row r="24" spans="1:6" x14ac:dyDescent="0.3">
      <c r="A24" s="357" t="s">
        <v>173</v>
      </c>
      <c r="B24" s="357"/>
      <c r="C24" s="357"/>
      <c r="D24" s="357"/>
      <c r="E24" s="357"/>
      <c r="F24" s="357"/>
    </row>
    <row r="25" spans="1:6" x14ac:dyDescent="0.3">
      <c r="A25" s="358" t="s">
        <v>174</v>
      </c>
      <c r="B25" s="358"/>
      <c r="C25" s="358"/>
      <c r="D25" s="358"/>
      <c r="E25" s="358"/>
      <c r="F25" s="358"/>
    </row>
  </sheetData>
  <mergeCells count="4">
    <mergeCell ref="A1:F1"/>
    <mergeCell ref="A2:F2"/>
    <mergeCell ref="A24:F24"/>
    <mergeCell ref="A25:F2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3"/>
  <sheetViews>
    <sheetView topLeftCell="A21" zoomScaleNormal="100" workbookViewId="0">
      <selection activeCell="F38" sqref="F38"/>
    </sheetView>
  </sheetViews>
  <sheetFormatPr defaultRowHeight="13.2" x14ac:dyDescent="0.25"/>
  <cols>
    <col min="1" max="1" width="10.88671875" style="2" customWidth="1"/>
    <col min="2" max="2" width="3.5546875" style="2" customWidth="1"/>
    <col min="3" max="3" width="9.109375" style="2"/>
    <col min="4" max="4" width="9.44140625" style="2" customWidth="1"/>
    <col min="5" max="5" width="3.44140625" style="2" customWidth="1"/>
    <col min="6" max="6" width="16" style="2" bestFit="1" customWidth="1"/>
    <col min="7" max="7" width="1.44140625" style="2" customWidth="1"/>
    <col min="8" max="8" width="14.5546875" style="6" customWidth="1"/>
    <col min="9" max="9" width="1" style="2" customWidth="1"/>
    <col min="10" max="10" width="12.109375" style="2" customWidth="1"/>
    <col min="11" max="11" width="14.109375" style="2" customWidth="1"/>
    <col min="12" max="12" width="20.44140625" style="6" customWidth="1"/>
    <col min="13" max="13" width="17.5546875" style="2" customWidth="1"/>
    <col min="14" max="256" width="9.109375" style="2"/>
    <col min="257" max="257" width="10.88671875" style="2" customWidth="1"/>
    <col min="258" max="258" width="3.5546875" style="2" customWidth="1"/>
    <col min="259" max="259" width="9.109375" style="2"/>
    <col min="260" max="260" width="9.44140625" style="2" customWidth="1"/>
    <col min="261" max="261" width="3.44140625" style="2" customWidth="1"/>
    <col min="262" max="262" width="11.44140625" style="2" bestFit="1" customWidth="1"/>
    <col min="263" max="263" width="1.44140625" style="2" customWidth="1"/>
    <col min="264" max="264" width="14.5546875" style="2" customWidth="1"/>
    <col min="265" max="265" width="1" style="2" customWidth="1"/>
    <col min="266" max="266" width="12.109375" style="2" customWidth="1"/>
    <col min="267" max="267" width="14.109375" style="2" customWidth="1"/>
    <col min="268" max="268" width="20.44140625" style="2" customWidth="1"/>
    <col min="269" max="269" width="17.5546875" style="2" customWidth="1"/>
    <col min="270" max="512" width="9.109375" style="2"/>
    <col min="513" max="513" width="10.88671875" style="2" customWidth="1"/>
    <col min="514" max="514" width="3.5546875" style="2" customWidth="1"/>
    <col min="515" max="515" width="9.109375" style="2"/>
    <col min="516" max="516" width="9.44140625" style="2" customWidth="1"/>
    <col min="517" max="517" width="3.44140625" style="2" customWidth="1"/>
    <col min="518" max="518" width="11.44140625" style="2" bestFit="1" customWidth="1"/>
    <col min="519" max="519" width="1.44140625" style="2" customWidth="1"/>
    <col min="520" max="520" width="14.5546875" style="2" customWidth="1"/>
    <col min="521" max="521" width="1" style="2" customWidth="1"/>
    <col min="522" max="522" width="12.109375" style="2" customWidth="1"/>
    <col min="523" max="523" width="14.109375" style="2" customWidth="1"/>
    <col min="524" max="524" width="20.44140625" style="2" customWidth="1"/>
    <col min="525" max="525" width="17.5546875" style="2" customWidth="1"/>
    <col min="526" max="768" width="9.109375" style="2"/>
    <col min="769" max="769" width="10.88671875" style="2" customWidth="1"/>
    <col min="770" max="770" width="3.5546875" style="2" customWidth="1"/>
    <col min="771" max="771" width="9.109375" style="2"/>
    <col min="772" max="772" width="9.44140625" style="2" customWidth="1"/>
    <col min="773" max="773" width="3.44140625" style="2" customWidth="1"/>
    <col min="774" max="774" width="11.44140625" style="2" bestFit="1" customWidth="1"/>
    <col min="775" max="775" width="1.44140625" style="2" customWidth="1"/>
    <col min="776" max="776" width="14.5546875" style="2" customWidth="1"/>
    <col min="777" max="777" width="1" style="2" customWidth="1"/>
    <col min="778" max="778" width="12.109375" style="2" customWidth="1"/>
    <col min="779" max="779" width="14.109375" style="2" customWidth="1"/>
    <col min="780" max="780" width="20.44140625" style="2" customWidth="1"/>
    <col min="781" max="781" width="17.5546875" style="2" customWidth="1"/>
    <col min="782" max="1024" width="9.109375" style="2"/>
    <col min="1025" max="1025" width="10.88671875" style="2" customWidth="1"/>
    <col min="1026" max="1026" width="3.5546875" style="2" customWidth="1"/>
    <col min="1027" max="1027" width="9.109375" style="2"/>
    <col min="1028" max="1028" width="9.44140625" style="2" customWidth="1"/>
    <col min="1029" max="1029" width="3.44140625" style="2" customWidth="1"/>
    <col min="1030" max="1030" width="11.44140625" style="2" bestFit="1" customWidth="1"/>
    <col min="1031" max="1031" width="1.44140625" style="2" customWidth="1"/>
    <col min="1032" max="1032" width="14.5546875" style="2" customWidth="1"/>
    <col min="1033" max="1033" width="1" style="2" customWidth="1"/>
    <col min="1034" max="1034" width="12.109375" style="2" customWidth="1"/>
    <col min="1035" max="1035" width="14.109375" style="2" customWidth="1"/>
    <col min="1036" max="1036" width="20.44140625" style="2" customWidth="1"/>
    <col min="1037" max="1037" width="17.5546875" style="2" customWidth="1"/>
    <col min="1038" max="1280" width="9.109375" style="2"/>
    <col min="1281" max="1281" width="10.88671875" style="2" customWidth="1"/>
    <col min="1282" max="1282" width="3.5546875" style="2" customWidth="1"/>
    <col min="1283" max="1283" width="9.109375" style="2"/>
    <col min="1284" max="1284" width="9.44140625" style="2" customWidth="1"/>
    <col min="1285" max="1285" width="3.44140625" style="2" customWidth="1"/>
    <col min="1286" max="1286" width="11.44140625" style="2" bestFit="1" customWidth="1"/>
    <col min="1287" max="1287" width="1.44140625" style="2" customWidth="1"/>
    <col min="1288" max="1288" width="14.5546875" style="2" customWidth="1"/>
    <col min="1289" max="1289" width="1" style="2" customWidth="1"/>
    <col min="1290" max="1290" width="12.109375" style="2" customWidth="1"/>
    <col min="1291" max="1291" width="14.109375" style="2" customWidth="1"/>
    <col min="1292" max="1292" width="20.44140625" style="2" customWidth="1"/>
    <col min="1293" max="1293" width="17.5546875" style="2" customWidth="1"/>
    <col min="1294" max="1536" width="9.109375" style="2"/>
    <col min="1537" max="1537" width="10.88671875" style="2" customWidth="1"/>
    <col min="1538" max="1538" width="3.5546875" style="2" customWidth="1"/>
    <col min="1539" max="1539" width="9.109375" style="2"/>
    <col min="1540" max="1540" width="9.44140625" style="2" customWidth="1"/>
    <col min="1541" max="1541" width="3.44140625" style="2" customWidth="1"/>
    <col min="1542" max="1542" width="11.44140625" style="2" bestFit="1" customWidth="1"/>
    <col min="1543" max="1543" width="1.44140625" style="2" customWidth="1"/>
    <col min="1544" max="1544" width="14.5546875" style="2" customWidth="1"/>
    <col min="1545" max="1545" width="1" style="2" customWidth="1"/>
    <col min="1546" max="1546" width="12.109375" style="2" customWidth="1"/>
    <col min="1547" max="1547" width="14.109375" style="2" customWidth="1"/>
    <col min="1548" max="1548" width="20.44140625" style="2" customWidth="1"/>
    <col min="1549" max="1549" width="17.5546875" style="2" customWidth="1"/>
    <col min="1550" max="1792" width="9.109375" style="2"/>
    <col min="1793" max="1793" width="10.88671875" style="2" customWidth="1"/>
    <col min="1794" max="1794" width="3.5546875" style="2" customWidth="1"/>
    <col min="1795" max="1795" width="9.109375" style="2"/>
    <col min="1796" max="1796" width="9.44140625" style="2" customWidth="1"/>
    <col min="1797" max="1797" width="3.44140625" style="2" customWidth="1"/>
    <col min="1798" max="1798" width="11.44140625" style="2" bestFit="1" customWidth="1"/>
    <col min="1799" max="1799" width="1.44140625" style="2" customWidth="1"/>
    <col min="1800" max="1800" width="14.5546875" style="2" customWidth="1"/>
    <col min="1801" max="1801" width="1" style="2" customWidth="1"/>
    <col min="1802" max="1802" width="12.109375" style="2" customWidth="1"/>
    <col min="1803" max="1803" width="14.109375" style="2" customWidth="1"/>
    <col min="1804" max="1804" width="20.44140625" style="2" customWidth="1"/>
    <col min="1805" max="1805" width="17.5546875" style="2" customWidth="1"/>
    <col min="1806" max="2048" width="9.109375" style="2"/>
    <col min="2049" max="2049" width="10.88671875" style="2" customWidth="1"/>
    <col min="2050" max="2050" width="3.5546875" style="2" customWidth="1"/>
    <col min="2051" max="2051" width="9.109375" style="2"/>
    <col min="2052" max="2052" width="9.44140625" style="2" customWidth="1"/>
    <col min="2053" max="2053" width="3.44140625" style="2" customWidth="1"/>
    <col min="2054" max="2054" width="11.44140625" style="2" bestFit="1" customWidth="1"/>
    <col min="2055" max="2055" width="1.44140625" style="2" customWidth="1"/>
    <col min="2056" max="2056" width="14.5546875" style="2" customWidth="1"/>
    <col min="2057" max="2057" width="1" style="2" customWidth="1"/>
    <col min="2058" max="2058" width="12.109375" style="2" customWidth="1"/>
    <col min="2059" max="2059" width="14.109375" style="2" customWidth="1"/>
    <col min="2060" max="2060" width="20.44140625" style="2" customWidth="1"/>
    <col min="2061" max="2061" width="17.5546875" style="2" customWidth="1"/>
    <col min="2062" max="2304" width="9.109375" style="2"/>
    <col min="2305" max="2305" width="10.88671875" style="2" customWidth="1"/>
    <col min="2306" max="2306" width="3.5546875" style="2" customWidth="1"/>
    <col min="2307" max="2307" width="9.109375" style="2"/>
    <col min="2308" max="2308" width="9.44140625" style="2" customWidth="1"/>
    <col min="2309" max="2309" width="3.44140625" style="2" customWidth="1"/>
    <col min="2310" max="2310" width="11.44140625" style="2" bestFit="1" customWidth="1"/>
    <col min="2311" max="2311" width="1.44140625" style="2" customWidth="1"/>
    <col min="2312" max="2312" width="14.5546875" style="2" customWidth="1"/>
    <col min="2313" max="2313" width="1" style="2" customWidth="1"/>
    <col min="2314" max="2314" width="12.109375" style="2" customWidth="1"/>
    <col min="2315" max="2315" width="14.109375" style="2" customWidth="1"/>
    <col min="2316" max="2316" width="20.44140625" style="2" customWidth="1"/>
    <col min="2317" max="2317" width="17.5546875" style="2" customWidth="1"/>
    <col min="2318" max="2560" width="9.109375" style="2"/>
    <col min="2561" max="2561" width="10.88671875" style="2" customWidth="1"/>
    <col min="2562" max="2562" width="3.5546875" style="2" customWidth="1"/>
    <col min="2563" max="2563" width="9.109375" style="2"/>
    <col min="2564" max="2564" width="9.44140625" style="2" customWidth="1"/>
    <col min="2565" max="2565" width="3.44140625" style="2" customWidth="1"/>
    <col min="2566" max="2566" width="11.44140625" style="2" bestFit="1" customWidth="1"/>
    <col min="2567" max="2567" width="1.44140625" style="2" customWidth="1"/>
    <col min="2568" max="2568" width="14.5546875" style="2" customWidth="1"/>
    <col min="2569" max="2569" width="1" style="2" customWidth="1"/>
    <col min="2570" max="2570" width="12.109375" style="2" customWidth="1"/>
    <col min="2571" max="2571" width="14.109375" style="2" customWidth="1"/>
    <col min="2572" max="2572" width="20.44140625" style="2" customWidth="1"/>
    <col min="2573" max="2573" width="17.5546875" style="2" customWidth="1"/>
    <col min="2574" max="2816" width="9.109375" style="2"/>
    <col min="2817" max="2817" width="10.88671875" style="2" customWidth="1"/>
    <col min="2818" max="2818" width="3.5546875" style="2" customWidth="1"/>
    <col min="2819" max="2819" width="9.109375" style="2"/>
    <col min="2820" max="2820" width="9.44140625" style="2" customWidth="1"/>
    <col min="2821" max="2821" width="3.44140625" style="2" customWidth="1"/>
    <col min="2822" max="2822" width="11.44140625" style="2" bestFit="1" customWidth="1"/>
    <col min="2823" max="2823" width="1.44140625" style="2" customWidth="1"/>
    <col min="2824" max="2824" width="14.5546875" style="2" customWidth="1"/>
    <col min="2825" max="2825" width="1" style="2" customWidth="1"/>
    <col min="2826" max="2826" width="12.109375" style="2" customWidth="1"/>
    <col min="2827" max="2827" width="14.109375" style="2" customWidth="1"/>
    <col min="2828" max="2828" width="20.44140625" style="2" customWidth="1"/>
    <col min="2829" max="2829" width="17.5546875" style="2" customWidth="1"/>
    <col min="2830" max="3072" width="9.109375" style="2"/>
    <col min="3073" max="3073" width="10.88671875" style="2" customWidth="1"/>
    <col min="3074" max="3074" width="3.5546875" style="2" customWidth="1"/>
    <col min="3075" max="3075" width="9.109375" style="2"/>
    <col min="3076" max="3076" width="9.44140625" style="2" customWidth="1"/>
    <col min="3077" max="3077" width="3.44140625" style="2" customWidth="1"/>
    <col min="3078" max="3078" width="11.44140625" style="2" bestFit="1" customWidth="1"/>
    <col min="3079" max="3079" width="1.44140625" style="2" customWidth="1"/>
    <col min="3080" max="3080" width="14.5546875" style="2" customWidth="1"/>
    <col min="3081" max="3081" width="1" style="2" customWidth="1"/>
    <col min="3082" max="3082" width="12.109375" style="2" customWidth="1"/>
    <col min="3083" max="3083" width="14.109375" style="2" customWidth="1"/>
    <col min="3084" max="3084" width="20.44140625" style="2" customWidth="1"/>
    <col min="3085" max="3085" width="17.5546875" style="2" customWidth="1"/>
    <col min="3086" max="3328" width="9.109375" style="2"/>
    <col min="3329" max="3329" width="10.88671875" style="2" customWidth="1"/>
    <col min="3330" max="3330" width="3.5546875" style="2" customWidth="1"/>
    <col min="3331" max="3331" width="9.109375" style="2"/>
    <col min="3332" max="3332" width="9.44140625" style="2" customWidth="1"/>
    <col min="3333" max="3333" width="3.44140625" style="2" customWidth="1"/>
    <col min="3334" max="3334" width="11.44140625" style="2" bestFit="1" customWidth="1"/>
    <col min="3335" max="3335" width="1.44140625" style="2" customWidth="1"/>
    <col min="3336" max="3336" width="14.5546875" style="2" customWidth="1"/>
    <col min="3337" max="3337" width="1" style="2" customWidth="1"/>
    <col min="3338" max="3338" width="12.109375" style="2" customWidth="1"/>
    <col min="3339" max="3339" width="14.109375" style="2" customWidth="1"/>
    <col min="3340" max="3340" width="20.44140625" style="2" customWidth="1"/>
    <col min="3341" max="3341" width="17.5546875" style="2" customWidth="1"/>
    <col min="3342" max="3584" width="9.109375" style="2"/>
    <col min="3585" max="3585" width="10.88671875" style="2" customWidth="1"/>
    <col min="3586" max="3586" width="3.5546875" style="2" customWidth="1"/>
    <col min="3587" max="3587" width="9.109375" style="2"/>
    <col min="3588" max="3588" width="9.44140625" style="2" customWidth="1"/>
    <col min="3589" max="3589" width="3.44140625" style="2" customWidth="1"/>
    <col min="3590" max="3590" width="11.44140625" style="2" bestFit="1" customWidth="1"/>
    <col min="3591" max="3591" width="1.44140625" style="2" customWidth="1"/>
    <col min="3592" max="3592" width="14.5546875" style="2" customWidth="1"/>
    <col min="3593" max="3593" width="1" style="2" customWidth="1"/>
    <col min="3594" max="3594" width="12.109375" style="2" customWidth="1"/>
    <col min="3595" max="3595" width="14.109375" style="2" customWidth="1"/>
    <col min="3596" max="3596" width="20.44140625" style="2" customWidth="1"/>
    <col min="3597" max="3597" width="17.5546875" style="2" customWidth="1"/>
    <col min="3598" max="3840" width="9.109375" style="2"/>
    <col min="3841" max="3841" width="10.88671875" style="2" customWidth="1"/>
    <col min="3842" max="3842" width="3.5546875" style="2" customWidth="1"/>
    <col min="3843" max="3843" width="9.109375" style="2"/>
    <col min="3844" max="3844" width="9.44140625" style="2" customWidth="1"/>
    <col min="3845" max="3845" width="3.44140625" style="2" customWidth="1"/>
    <col min="3846" max="3846" width="11.44140625" style="2" bestFit="1" customWidth="1"/>
    <col min="3847" max="3847" width="1.44140625" style="2" customWidth="1"/>
    <col min="3848" max="3848" width="14.5546875" style="2" customWidth="1"/>
    <col min="3849" max="3849" width="1" style="2" customWidth="1"/>
    <col min="3850" max="3850" width="12.109375" style="2" customWidth="1"/>
    <col min="3851" max="3851" width="14.109375" style="2" customWidth="1"/>
    <col min="3852" max="3852" width="20.44140625" style="2" customWidth="1"/>
    <col min="3853" max="3853" width="17.5546875" style="2" customWidth="1"/>
    <col min="3854" max="4096" width="9.109375" style="2"/>
    <col min="4097" max="4097" width="10.88671875" style="2" customWidth="1"/>
    <col min="4098" max="4098" width="3.5546875" style="2" customWidth="1"/>
    <col min="4099" max="4099" width="9.109375" style="2"/>
    <col min="4100" max="4100" width="9.44140625" style="2" customWidth="1"/>
    <col min="4101" max="4101" width="3.44140625" style="2" customWidth="1"/>
    <col min="4102" max="4102" width="11.44140625" style="2" bestFit="1" customWidth="1"/>
    <col min="4103" max="4103" width="1.44140625" style="2" customWidth="1"/>
    <col min="4104" max="4104" width="14.5546875" style="2" customWidth="1"/>
    <col min="4105" max="4105" width="1" style="2" customWidth="1"/>
    <col min="4106" max="4106" width="12.109375" style="2" customWidth="1"/>
    <col min="4107" max="4107" width="14.109375" style="2" customWidth="1"/>
    <col min="4108" max="4108" width="20.44140625" style="2" customWidth="1"/>
    <col min="4109" max="4109" width="17.5546875" style="2" customWidth="1"/>
    <col min="4110" max="4352" width="9.109375" style="2"/>
    <col min="4353" max="4353" width="10.88671875" style="2" customWidth="1"/>
    <col min="4354" max="4354" width="3.5546875" style="2" customWidth="1"/>
    <col min="4355" max="4355" width="9.109375" style="2"/>
    <col min="4356" max="4356" width="9.44140625" style="2" customWidth="1"/>
    <col min="4357" max="4357" width="3.44140625" style="2" customWidth="1"/>
    <col min="4358" max="4358" width="11.44140625" style="2" bestFit="1" customWidth="1"/>
    <col min="4359" max="4359" width="1.44140625" style="2" customWidth="1"/>
    <col min="4360" max="4360" width="14.5546875" style="2" customWidth="1"/>
    <col min="4361" max="4361" width="1" style="2" customWidth="1"/>
    <col min="4362" max="4362" width="12.109375" style="2" customWidth="1"/>
    <col min="4363" max="4363" width="14.109375" style="2" customWidth="1"/>
    <col min="4364" max="4364" width="20.44140625" style="2" customWidth="1"/>
    <col min="4365" max="4365" width="17.5546875" style="2" customWidth="1"/>
    <col min="4366" max="4608" width="9.109375" style="2"/>
    <col min="4609" max="4609" width="10.88671875" style="2" customWidth="1"/>
    <col min="4610" max="4610" width="3.5546875" style="2" customWidth="1"/>
    <col min="4611" max="4611" width="9.109375" style="2"/>
    <col min="4612" max="4612" width="9.44140625" style="2" customWidth="1"/>
    <col min="4613" max="4613" width="3.44140625" style="2" customWidth="1"/>
    <col min="4614" max="4614" width="11.44140625" style="2" bestFit="1" customWidth="1"/>
    <col min="4615" max="4615" width="1.44140625" style="2" customWidth="1"/>
    <col min="4616" max="4616" width="14.5546875" style="2" customWidth="1"/>
    <col min="4617" max="4617" width="1" style="2" customWidth="1"/>
    <col min="4618" max="4618" width="12.109375" style="2" customWidth="1"/>
    <col min="4619" max="4619" width="14.109375" style="2" customWidth="1"/>
    <col min="4620" max="4620" width="20.44140625" style="2" customWidth="1"/>
    <col min="4621" max="4621" width="17.5546875" style="2" customWidth="1"/>
    <col min="4622" max="4864" width="9.109375" style="2"/>
    <col min="4865" max="4865" width="10.88671875" style="2" customWidth="1"/>
    <col min="4866" max="4866" width="3.5546875" style="2" customWidth="1"/>
    <col min="4867" max="4867" width="9.109375" style="2"/>
    <col min="4868" max="4868" width="9.44140625" style="2" customWidth="1"/>
    <col min="4869" max="4869" width="3.44140625" style="2" customWidth="1"/>
    <col min="4870" max="4870" width="11.44140625" style="2" bestFit="1" customWidth="1"/>
    <col min="4871" max="4871" width="1.44140625" style="2" customWidth="1"/>
    <col min="4872" max="4872" width="14.5546875" style="2" customWidth="1"/>
    <col min="4873" max="4873" width="1" style="2" customWidth="1"/>
    <col min="4874" max="4874" width="12.109375" style="2" customWidth="1"/>
    <col min="4875" max="4875" width="14.109375" style="2" customWidth="1"/>
    <col min="4876" max="4876" width="20.44140625" style="2" customWidth="1"/>
    <col min="4877" max="4877" width="17.5546875" style="2" customWidth="1"/>
    <col min="4878" max="5120" width="9.109375" style="2"/>
    <col min="5121" max="5121" width="10.88671875" style="2" customWidth="1"/>
    <col min="5122" max="5122" width="3.5546875" style="2" customWidth="1"/>
    <col min="5123" max="5123" width="9.109375" style="2"/>
    <col min="5124" max="5124" width="9.44140625" style="2" customWidth="1"/>
    <col min="5125" max="5125" width="3.44140625" style="2" customWidth="1"/>
    <col min="5126" max="5126" width="11.44140625" style="2" bestFit="1" customWidth="1"/>
    <col min="5127" max="5127" width="1.44140625" style="2" customWidth="1"/>
    <col min="5128" max="5128" width="14.5546875" style="2" customWidth="1"/>
    <col min="5129" max="5129" width="1" style="2" customWidth="1"/>
    <col min="5130" max="5130" width="12.109375" style="2" customWidth="1"/>
    <col min="5131" max="5131" width="14.109375" style="2" customWidth="1"/>
    <col min="5132" max="5132" width="20.44140625" style="2" customWidth="1"/>
    <col min="5133" max="5133" width="17.5546875" style="2" customWidth="1"/>
    <col min="5134" max="5376" width="9.109375" style="2"/>
    <col min="5377" max="5377" width="10.88671875" style="2" customWidth="1"/>
    <col min="5378" max="5378" width="3.5546875" style="2" customWidth="1"/>
    <col min="5379" max="5379" width="9.109375" style="2"/>
    <col min="5380" max="5380" width="9.44140625" style="2" customWidth="1"/>
    <col min="5381" max="5381" width="3.44140625" style="2" customWidth="1"/>
    <col min="5382" max="5382" width="11.44140625" style="2" bestFit="1" customWidth="1"/>
    <col min="5383" max="5383" width="1.44140625" style="2" customWidth="1"/>
    <col min="5384" max="5384" width="14.5546875" style="2" customWidth="1"/>
    <col min="5385" max="5385" width="1" style="2" customWidth="1"/>
    <col min="5386" max="5386" width="12.109375" style="2" customWidth="1"/>
    <col min="5387" max="5387" width="14.109375" style="2" customWidth="1"/>
    <col min="5388" max="5388" width="20.44140625" style="2" customWidth="1"/>
    <col min="5389" max="5389" width="17.5546875" style="2" customWidth="1"/>
    <col min="5390" max="5632" width="9.109375" style="2"/>
    <col min="5633" max="5633" width="10.88671875" style="2" customWidth="1"/>
    <col min="5634" max="5634" width="3.5546875" style="2" customWidth="1"/>
    <col min="5635" max="5635" width="9.109375" style="2"/>
    <col min="5636" max="5636" width="9.44140625" style="2" customWidth="1"/>
    <col min="5637" max="5637" width="3.44140625" style="2" customWidth="1"/>
    <col min="5638" max="5638" width="11.44140625" style="2" bestFit="1" customWidth="1"/>
    <col min="5639" max="5639" width="1.44140625" style="2" customWidth="1"/>
    <col min="5640" max="5640" width="14.5546875" style="2" customWidth="1"/>
    <col min="5641" max="5641" width="1" style="2" customWidth="1"/>
    <col min="5642" max="5642" width="12.109375" style="2" customWidth="1"/>
    <col min="5643" max="5643" width="14.109375" style="2" customWidth="1"/>
    <col min="5644" max="5644" width="20.44140625" style="2" customWidth="1"/>
    <col min="5645" max="5645" width="17.5546875" style="2" customWidth="1"/>
    <col min="5646" max="5888" width="9.109375" style="2"/>
    <col min="5889" max="5889" width="10.88671875" style="2" customWidth="1"/>
    <col min="5890" max="5890" width="3.5546875" style="2" customWidth="1"/>
    <col min="5891" max="5891" width="9.109375" style="2"/>
    <col min="5892" max="5892" width="9.44140625" style="2" customWidth="1"/>
    <col min="5893" max="5893" width="3.44140625" style="2" customWidth="1"/>
    <col min="5894" max="5894" width="11.44140625" style="2" bestFit="1" customWidth="1"/>
    <col min="5895" max="5895" width="1.44140625" style="2" customWidth="1"/>
    <col min="5896" max="5896" width="14.5546875" style="2" customWidth="1"/>
    <col min="5897" max="5897" width="1" style="2" customWidth="1"/>
    <col min="5898" max="5898" width="12.109375" style="2" customWidth="1"/>
    <col min="5899" max="5899" width="14.109375" style="2" customWidth="1"/>
    <col min="5900" max="5900" width="20.44140625" style="2" customWidth="1"/>
    <col min="5901" max="5901" width="17.5546875" style="2" customWidth="1"/>
    <col min="5902" max="6144" width="9.109375" style="2"/>
    <col min="6145" max="6145" width="10.88671875" style="2" customWidth="1"/>
    <col min="6146" max="6146" width="3.5546875" style="2" customWidth="1"/>
    <col min="6147" max="6147" width="9.109375" style="2"/>
    <col min="6148" max="6148" width="9.44140625" style="2" customWidth="1"/>
    <col min="6149" max="6149" width="3.44140625" style="2" customWidth="1"/>
    <col min="6150" max="6150" width="11.44140625" style="2" bestFit="1" customWidth="1"/>
    <col min="6151" max="6151" width="1.44140625" style="2" customWidth="1"/>
    <col min="6152" max="6152" width="14.5546875" style="2" customWidth="1"/>
    <col min="6153" max="6153" width="1" style="2" customWidth="1"/>
    <col min="6154" max="6154" width="12.109375" style="2" customWidth="1"/>
    <col min="6155" max="6155" width="14.109375" style="2" customWidth="1"/>
    <col min="6156" max="6156" width="20.44140625" style="2" customWidth="1"/>
    <col min="6157" max="6157" width="17.5546875" style="2" customWidth="1"/>
    <col min="6158" max="6400" width="9.109375" style="2"/>
    <col min="6401" max="6401" width="10.88671875" style="2" customWidth="1"/>
    <col min="6402" max="6402" width="3.5546875" style="2" customWidth="1"/>
    <col min="6403" max="6403" width="9.109375" style="2"/>
    <col min="6404" max="6404" width="9.44140625" style="2" customWidth="1"/>
    <col min="6405" max="6405" width="3.44140625" style="2" customWidth="1"/>
    <col min="6406" max="6406" width="11.44140625" style="2" bestFit="1" customWidth="1"/>
    <col min="6407" max="6407" width="1.44140625" style="2" customWidth="1"/>
    <col min="6408" max="6408" width="14.5546875" style="2" customWidth="1"/>
    <col min="6409" max="6409" width="1" style="2" customWidth="1"/>
    <col min="6410" max="6410" width="12.109375" style="2" customWidth="1"/>
    <col min="6411" max="6411" width="14.109375" style="2" customWidth="1"/>
    <col min="6412" max="6412" width="20.44140625" style="2" customWidth="1"/>
    <col min="6413" max="6413" width="17.5546875" style="2" customWidth="1"/>
    <col min="6414" max="6656" width="9.109375" style="2"/>
    <col min="6657" max="6657" width="10.88671875" style="2" customWidth="1"/>
    <col min="6658" max="6658" width="3.5546875" style="2" customWidth="1"/>
    <col min="6659" max="6659" width="9.109375" style="2"/>
    <col min="6660" max="6660" width="9.44140625" style="2" customWidth="1"/>
    <col min="6661" max="6661" width="3.44140625" style="2" customWidth="1"/>
    <col min="6662" max="6662" width="11.44140625" style="2" bestFit="1" customWidth="1"/>
    <col min="6663" max="6663" width="1.44140625" style="2" customWidth="1"/>
    <col min="6664" max="6664" width="14.5546875" style="2" customWidth="1"/>
    <col min="6665" max="6665" width="1" style="2" customWidth="1"/>
    <col min="6666" max="6666" width="12.109375" style="2" customWidth="1"/>
    <col min="6667" max="6667" width="14.109375" style="2" customWidth="1"/>
    <col min="6668" max="6668" width="20.44140625" style="2" customWidth="1"/>
    <col min="6669" max="6669" width="17.5546875" style="2" customWidth="1"/>
    <col min="6670" max="6912" width="9.109375" style="2"/>
    <col min="6913" max="6913" width="10.88671875" style="2" customWidth="1"/>
    <col min="6914" max="6914" width="3.5546875" style="2" customWidth="1"/>
    <col min="6915" max="6915" width="9.109375" style="2"/>
    <col min="6916" max="6916" width="9.44140625" style="2" customWidth="1"/>
    <col min="6917" max="6917" width="3.44140625" style="2" customWidth="1"/>
    <col min="6918" max="6918" width="11.44140625" style="2" bestFit="1" customWidth="1"/>
    <col min="6919" max="6919" width="1.44140625" style="2" customWidth="1"/>
    <col min="6920" max="6920" width="14.5546875" style="2" customWidth="1"/>
    <col min="6921" max="6921" width="1" style="2" customWidth="1"/>
    <col min="6922" max="6922" width="12.109375" style="2" customWidth="1"/>
    <col min="6923" max="6923" width="14.109375" style="2" customWidth="1"/>
    <col min="6924" max="6924" width="20.44140625" style="2" customWidth="1"/>
    <col min="6925" max="6925" width="17.5546875" style="2" customWidth="1"/>
    <col min="6926" max="7168" width="9.109375" style="2"/>
    <col min="7169" max="7169" width="10.88671875" style="2" customWidth="1"/>
    <col min="7170" max="7170" width="3.5546875" style="2" customWidth="1"/>
    <col min="7171" max="7171" width="9.109375" style="2"/>
    <col min="7172" max="7172" width="9.44140625" style="2" customWidth="1"/>
    <col min="7173" max="7173" width="3.44140625" style="2" customWidth="1"/>
    <col min="7174" max="7174" width="11.44140625" style="2" bestFit="1" customWidth="1"/>
    <col min="7175" max="7175" width="1.44140625" style="2" customWidth="1"/>
    <col min="7176" max="7176" width="14.5546875" style="2" customWidth="1"/>
    <col min="7177" max="7177" width="1" style="2" customWidth="1"/>
    <col min="7178" max="7178" width="12.109375" style="2" customWidth="1"/>
    <col min="7179" max="7179" width="14.109375" style="2" customWidth="1"/>
    <col min="7180" max="7180" width="20.44140625" style="2" customWidth="1"/>
    <col min="7181" max="7181" width="17.5546875" style="2" customWidth="1"/>
    <col min="7182" max="7424" width="9.109375" style="2"/>
    <col min="7425" max="7425" width="10.88671875" style="2" customWidth="1"/>
    <col min="7426" max="7426" width="3.5546875" style="2" customWidth="1"/>
    <col min="7427" max="7427" width="9.109375" style="2"/>
    <col min="7428" max="7428" width="9.44140625" style="2" customWidth="1"/>
    <col min="7429" max="7429" width="3.44140625" style="2" customWidth="1"/>
    <col min="7430" max="7430" width="11.44140625" style="2" bestFit="1" customWidth="1"/>
    <col min="7431" max="7431" width="1.44140625" style="2" customWidth="1"/>
    <col min="7432" max="7432" width="14.5546875" style="2" customWidth="1"/>
    <col min="7433" max="7433" width="1" style="2" customWidth="1"/>
    <col min="7434" max="7434" width="12.109375" style="2" customWidth="1"/>
    <col min="7435" max="7435" width="14.109375" style="2" customWidth="1"/>
    <col min="7436" max="7436" width="20.44140625" style="2" customWidth="1"/>
    <col min="7437" max="7437" width="17.5546875" style="2" customWidth="1"/>
    <col min="7438" max="7680" width="9.109375" style="2"/>
    <col min="7681" max="7681" width="10.88671875" style="2" customWidth="1"/>
    <col min="7682" max="7682" width="3.5546875" style="2" customWidth="1"/>
    <col min="7683" max="7683" width="9.109375" style="2"/>
    <col min="7684" max="7684" width="9.44140625" style="2" customWidth="1"/>
    <col min="7685" max="7685" width="3.44140625" style="2" customWidth="1"/>
    <col min="7686" max="7686" width="11.44140625" style="2" bestFit="1" customWidth="1"/>
    <col min="7687" max="7687" width="1.44140625" style="2" customWidth="1"/>
    <col min="7688" max="7688" width="14.5546875" style="2" customWidth="1"/>
    <col min="7689" max="7689" width="1" style="2" customWidth="1"/>
    <col min="7690" max="7690" width="12.109375" style="2" customWidth="1"/>
    <col min="7691" max="7691" width="14.109375" style="2" customWidth="1"/>
    <col min="7692" max="7692" width="20.44140625" style="2" customWidth="1"/>
    <col min="7693" max="7693" width="17.5546875" style="2" customWidth="1"/>
    <col min="7694" max="7936" width="9.109375" style="2"/>
    <col min="7937" max="7937" width="10.88671875" style="2" customWidth="1"/>
    <col min="7938" max="7938" width="3.5546875" style="2" customWidth="1"/>
    <col min="7939" max="7939" width="9.109375" style="2"/>
    <col min="7940" max="7940" width="9.44140625" style="2" customWidth="1"/>
    <col min="7941" max="7941" width="3.44140625" style="2" customWidth="1"/>
    <col min="7942" max="7942" width="11.44140625" style="2" bestFit="1" customWidth="1"/>
    <col min="7943" max="7943" width="1.44140625" style="2" customWidth="1"/>
    <col min="7944" max="7944" width="14.5546875" style="2" customWidth="1"/>
    <col min="7945" max="7945" width="1" style="2" customWidth="1"/>
    <col min="7946" max="7946" width="12.109375" style="2" customWidth="1"/>
    <col min="7947" max="7947" width="14.109375" style="2" customWidth="1"/>
    <col min="7948" max="7948" width="20.44140625" style="2" customWidth="1"/>
    <col min="7949" max="7949" width="17.5546875" style="2" customWidth="1"/>
    <col min="7950" max="8192" width="9.109375" style="2"/>
    <col min="8193" max="8193" width="10.88671875" style="2" customWidth="1"/>
    <col min="8194" max="8194" width="3.5546875" style="2" customWidth="1"/>
    <col min="8195" max="8195" width="9.109375" style="2"/>
    <col min="8196" max="8196" width="9.44140625" style="2" customWidth="1"/>
    <col min="8197" max="8197" width="3.44140625" style="2" customWidth="1"/>
    <col min="8198" max="8198" width="11.44140625" style="2" bestFit="1" customWidth="1"/>
    <col min="8199" max="8199" width="1.44140625" style="2" customWidth="1"/>
    <col min="8200" max="8200" width="14.5546875" style="2" customWidth="1"/>
    <col min="8201" max="8201" width="1" style="2" customWidth="1"/>
    <col min="8202" max="8202" width="12.109375" style="2" customWidth="1"/>
    <col min="8203" max="8203" width="14.109375" style="2" customWidth="1"/>
    <col min="8204" max="8204" width="20.44140625" style="2" customWidth="1"/>
    <col min="8205" max="8205" width="17.5546875" style="2" customWidth="1"/>
    <col min="8206" max="8448" width="9.109375" style="2"/>
    <col min="8449" max="8449" width="10.88671875" style="2" customWidth="1"/>
    <col min="8450" max="8450" width="3.5546875" style="2" customWidth="1"/>
    <col min="8451" max="8451" width="9.109375" style="2"/>
    <col min="8452" max="8452" width="9.44140625" style="2" customWidth="1"/>
    <col min="8453" max="8453" width="3.44140625" style="2" customWidth="1"/>
    <col min="8454" max="8454" width="11.44140625" style="2" bestFit="1" customWidth="1"/>
    <col min="8455" max="8455" width="1.44140625" style="2" customWidth="1"/>
    <col min="8456" max="8456" width="14.5546875" style="2" customWidth="1"/>
    <col min="8457" max="8457" width="1" style="2" customWidth="1"/>
    <col min="8458" max="8458" width="12.109375" style="2" customWidth="1"/>
    <col min="8459" max="8459" width="14.109375" style="2" customWidth="1"/>
    <col min="8460" max="8460" width="20.44140625" style="2" customWidth="1"/>
    <col min="8461" max="8461" width="17.5546875" style="2" customWidth="1"/>
    <col min="8462" max="8704" width="9.109375" style="2"/>
    <col min="8705" max="8705" width="10.88671875" style="2" customWidth="1"/>
    <col min="8706" max="8706" width="3.5546875" style="2" customWidth="1"/>
    <col min="8707" max="8707" width="9.109375" style="2"/>
    <col min="8708" max="8708" width="9.44140625" style="2" customWidth="1"/>
    <col min="8709" max="8709" width="3.44140625" style="2" customWidth="1"/>
    <col min="8710" max="8710" width="11.44140625" style="2" bestFit="1" customWidth="1"/>
    <col min="8711" max="8711" width="1.44140625" style="2" customWidth="1"/>
    <col min="8712" max="8712" width="14.5546875" style="2" customWidth="1"/>
    <col min="8713" max="8713" width="1" style="2" customWidth="1"/>
    <col min="8714" max="8714" width="12.109375" style="2" customWidth="1"/>
    <col min="8715" max="8715" width="14.109375" style="2" customWidth="1"/>
    <col min="8716" max="8716" width="20.44140625" style="2" customWidth="1"/>
    <col min="8717" max="8717" width="17.5546875" style="2" customWidth="1"/>
    <col min="8718" max="8960" width="9.109375" style="2"/>
    <col min="8961" max="8961" width="10.88671875" style="2" customWidth="1"/>
    <col min="8962" max="8962" width="3.5546875" style="2" customWidth="1"/>
    <col min="8963" max="8963" width="9.109375" style="2"/>
    <col min="8964" max="8964" width="9.44140625" style="2" customWidth="1"/>
    <col min="8965" max="8965" width="3.44140625" style="2" customWidth="1"/>
    <col min="8966" max="8966" width="11.44140625" style="2" bestFit="1" customWidth="1"/>
    <col min="8967" max="8967" width="1.44140625" style="2" customWidth="1"/>
    <col min="8968" max="8968" width="14.5546875" style="2" customWidth="1"/>
    <col min="8969" max="8969" width="1" style="2" customWidth="1"/>
    <col min="8970" max="8970" width="12.109375" style="2" customWidth="1"/>
    <col min="8971" max="8971" width="14.109375" style="2" customWidth="1"/>
    <col min="8972" max="8972" width="20.44140625" style="2" customWidth="1"/>
    <col min="8973" max="8973" width="17.5546875" style="2" customWidth="1"/>
    <col min="8974" max="9216" width="9.109375" style="2"/>
    <col min="9217" max="9217" width="10.88671875" style="2" customWidth="1"/>
    <col min="9218" max="9218" width="3.5546875" style="2" customWidth="1"/>
    <col min="9219" max="9219" width="9.109375" style="2"/>
    <col min="9220" max="9220" width="9.44140625" style="2" customWidth="1"/>
    <col min="9221" max="9221" width="3.44140625" style="2" customWidth="1"/>
    <col min="9222" max="9222" width="11.44140625" style="2" bestFit="1" customWidth="1"/>
    <col min="9223" max="9223" width="1.44140625" style="2" customWidth="1"/>
    <col min="9224" max="9224" width="14.5546875" style="2" customWidth="1"/>
    <col min="9225" max="9225" width="1" style="2" customWidth="1"/>
    <col min="9226" max="9226" width="12.109375" style="2" customWidth="1"/>
    <col min="9227" max="9227" width="14.109375" style="2" customWidth="1"/>
    <col min="9228" max="9228" width="20.44140625" style="2" customWidth="1"/>
    <col min="9229" max="9229" width="17.5546875" style="2" customWidth="1"/>
    <col min="9230" max="9472" width="9.109375" style="2"/>
    <col min="9473" max="9473" width="10.88671875" style="2" customWidth="1"/>
    <col min="9474" max="9474" width="3.5546875" style="2" customWidth="1"/>
    <col min="9475" max="9475" width="9.109375" style="2"/>
    <col min="9476" max="9476" width="9.44140625" style="2" customWidth="1"/>
    <col min="9477" max="9477" width="3.44140625" style="2" customWidth="1"/>
    <col min="9478" max="9478" width="11.44140625" style="2" bestFit="1" customWidth="1"/>
    <col min="9479" max="9479" width="1.44140625" style="2" customWidth="1"/>
    <col min="9480" max="9480" width="14.5546875" style="2" customWidth="1"/>
    <col min="9481" max="9481" width="1" style="2" customWidth="1"/>
    <col min="9482" max="9482" width="12.109375" style="2" customWidth="1"/>
    <col min="9483" max="9483" width="14.109375" style="2" customWidth="1"/>
    <col min="9484" max="9484" width="20.44140625" style="2" customWidth="1"/>
    <col min="9485" max="9485" width="17.5546875" style="2" customWidth="1"/>
    <col min="9486" max="9728" width="9.109375" style="2"/>
    <col min="9729" max="9729" width="10.88671875" style="2" customWidth="1"/>
    <col min="9730" max="9730" width="3.5546875" style="2" customWidth="1"/>
    <col min="9731" max="9731" width="9.109375" style="2"/>
    <col min="9732" max="9732" width="9.44140625" style="2" customWidth="1"/>
    <col min="9733" max="9733" width="3.44140625" style="2" customWidth="1"/>
    <col min="9734" max="9734" width="11.44140625" style="2" bestFit="1" customWidth="1"/>
    <col min="9735" max="9735" width="1.44140625" style="2" customWidth="1"/>
    <col min="9736" max="9736" width="14.5546875" style="2" customWidth="1"/>
    <col min="9737" max="9737" width="1" style="2" customWidth="1"/>
    <col min="9738" max="9738" width="12.109375" style="2" customWidth="1"/>
    <col min="9739" max="9739" width="14.109375" style="2" customWidth="1"/>
    <col min="9740" max="9740" width="20.44140625" style="2" customWidth="1"/>
    <col min="9741" max="9741" width="17.5546875" style="2" customWidth="1"/>
    <col min="9742" max="9984" width="9.109375" style="2"/>
    <col min="9985" max="9985" width="10.88671875" style="2" customWidth="1"/>
    <col min="9986" max="9986" width="3.5546875" style="2" customWidth="1"/>
    <col min="9987" max="9987" width="9.109375" style="2"/>
    <col min="9988" max="9988" width="9.44140625" style="2" customWidth="1"/>
    <col min="9989" max="9989" width="3.44140625" style="2" customWidth="1"/>
    <col min="9990" max="9990" width="11.44140625" style="2" bestFit="1" customWidth="1"/>
    <col min="9991" max="9991" width="1.44140625" style="2" customWidth="1"/>
    <col min="9992" max="9992" width="14.5546875" style="2" customWidth="1"/>
    <col min="9993" max="9993" width="1" style="2" customWidth="1"/>
    <col min="9994" max="9994" width="12.109375" style="2" customWidth="1"/>
    <col min="9995" max="9995" width="14.109375" style="2" customWidth="1"/>
    <col min="9996" max="9996" width="20.44140625" style="2" customWidth="1"/>
    <col min="9997" max="9997" width="17.5546875" style="2" customWidth="1"/>
    <col min="9998" max="10240" width="9.109375" style="2"/>
    <col min="10241" max="10241" width="10.88671875" style="2" customWidth="1"/>
    <col min="10242" max="10242" width="3.5546875" style="2" customWidth="1"/>
    <col min="10243" max="10243" width="9.109375" style="2"/>
    <col min="10244" max="10244" width="9.44140625" style="2" customWidth="1"/>
    <col min="10245" max="10245" width="3.44140625" style="2" customWidth="1"/>
    <col min="10246" max="10246" width="11.44140625" style="2" bestFit="1" customWidth="1"/>
    <col min="10247" max="10247" width="1.44140625" style="2" customWidth="1"/>
    <col min="10248" max="10248" width="14.5546875" style="2" customWidth="1"/>
    <col min="10249" max="10249" width="1" style="2" customWidth="1"/>
    <col min="10250" max="10250" width="12.109375" style="2" customWidth="1"/>
    <col min="10251" max="10251" width="14.109375" style="2" customWidth="1"/>
    <col min="10252" max="10252" width="20.44140625" style="2" customWidth="1"/>
    <col min="10253" max="10253" width="17.5546875" style="2" customWidth="1"/>
    <col min="10254" max="10496" width="9.109375" style="2"/>
    <col min="10497" max="10497" width="10.88671875" style="2" customWidth="1"/>
    <col min="10498" max="10498" width="3.5546875" style="2" customWidth="1"/>
    <col min="10499" max="10499" width="9.109375" style="2"/>
    <col min="10500" max="10500" width="9.44140625" style="2" customWidth="1"/>
    <col min="10501" max="10501" width="3.44140625" style="2" customWidth="1"/>
    <col min="10502" max="10502" width="11.44140625" style="2" bestFit="1" customWidth="1"/>
    <col min="10503" max="10503" width="1.44140625" style="2" customWidth="1"/>
    <col min="10504" max="10504" width="14.5546875" style="2" customWidth="1"/>
    <col min="10505" max="10505" width="1" style="2" customWidth="1"/>
    <col min="10506" max="10506" width="12.109375" style="2" customWidth="1"/>
    <col min="10507" max="10507" width="14.109375" style="2" customWidth="1"/>
    <col min="10508" max="10508" width="20.44140625" style="2" customWidth="1"/>
    <col min="10509" max="10509" width="17.5546875" style="2" customWidth="1"/>
    <col min="10510" max="10752" width="9.109375" style="2"/>
    <col min="10753" max="10753" width="10.88671875" style="2" customWidth="1"/>
    <col min="10754" max="10754" width="3.5546875" style="2" customWidth="1"/>
    <col min="10755" max="10755" width="9.109375" style="2"/>
    <col min="10756" max="10756" width="9.44140625" style="2" customWidth="1"/>
    <col min="10757" max="10757" width="3.44140625" style="2" customWidth="1"/>
    <col min="10758" max="10758" width="11.44140625" style="2" bestFit="1" customWidth="1"/>
    <col min="10759" max="10759" width="1.44140625" style="2" customWidth="1"/>
    <col min="10760" max="10760" width="14.5546875" style="2" customWidth="1"/>
    <col min="10761" max="10761" width="1" style="2" customWidth="1"/>
    <col min="10762" max="10762" width="12.109375" style="2" customWidth="1"/>
    <col min="10763" max="10763" width="14.109375" style="2" customWidth="1"/>
    <col min="10764" max="10764" width="20.44140625" style="2" customWidth="1"/>
    <col min="10765" max="10765" width="17.5546875" style="2" customWidth="1"/>
    <col min="10766" max="11008" width="9.109375" style="2"/>
    <col min="11009" max="11009" width="10.88671875" style="2" customWidth="1"/>
    <col min="11010" max="11010" width="3.5546875" style="2" customWidth="1"/>
    <col min="11011" max="11011" width="9.109375" style="2"/>
    <col min="11012" max="11012" width="9.44140625" style="2" customWidth="1"/>
    <col min="11013" max="11013" width="3.44140625" style="2" customWidth="1"/>
    <col min="11014" max="11014" width="11.44140625" style="2" bestFit="1" customWidth="1"/>
    <col min="11015" max="11015" width="1.44140625" style="2" customWidth="1"/>
    <col min="11016" max="11016" width="14.5546875" style="2" customWidth="1"/>
    <col min="11017" max="11017" width="1" style="2" customWidth="1"/>
    <col min="11018" max="11018" width="12.109375" style="2" customWidth="1"/>
    <col min="11019" max="11019" width="14.109375" style="2" customWidth="1"/>
    <col min="11020" max="11020" width="20.44140625" style="2" customWidth="1"/>
    <col min="11021" max="11021" width="17.5546875" style="2" customWidth="1"/>
    <col min="11022" max="11264" width="9.109375" style="2"/>
    <col min="11265" max="11265" width="10.88671875" style="2" customWidth="1"/>
    <col min="11266" max="11266" width="3.5546875" style="2" customWidth="1"/>
    <col min="11267" max="11267" width="9.109375" style="2"/>
    <col min="11268" max="11268" width="9.44140625" style="2" customWidth="1"/>
    <col min="11269" max="11269" width="3.44140625" style="2" customWidth="1"/>
    <col min="11270" max="11270" width="11.44140625" style="2" bestFit="1" customWidth="1"/>
    <col min="11271" max="11271" width="1.44140625" style="2" customWidth="1"/>
    <col min="11272" max="11272" width="14.5546875" style="2" customWidth="1"/>
    <col min="11273" max="11273" width="1" style="2" customWidth="1"/>
    <col min="11274" max="11274" width="12.109375" style="2" customWidth="1"/>
    <col min="11275" max="11275" width="14.109375" style="2" customWidth="1"/>
    <col min="11276" max="11276" width="20.44140625" style="2" customWidth="1"/>
    <col min="11277" max="11277" width="17.5546875" style="2" customWidth="1"/>
    <col min="11278" max="11520" width="9.109375" style="2"/>
    <col min="11521" max="11521" width="10.88671875" style="2" customWidth="1"/>
    <col min="11522" max="11522" width="3.5546875" style="2" customWidth="1"/>
    <col min="11523" max="11523" width="9.109375" style="2"/>
    <col min="11524" max="11524" width="9.44140625" style="2" customWidth="1"/>
    <col min="11525" max="11525" width="3.44140625" style="2" customWidth="1"/>
    <col min="11526" max="11526" width="11.44140625" style="2" bestFit="1" customWidth="1"/>
    <col min="11527" max="11527" width="1.44140625" style="2" customWidth="1"/>
    <col min="11528" max="11528" width="14.5546875" style="2" customWidth="1"/>
    <col min="11529" max="11529" width="1" style="2" customWidth="1"/>
    <col min="11530" max="11530" width="12.109375" style="2" customWidth="1"/>
    <col min="11531" max="11531" width="14.109375" style="2" customWidth="1"/>
    <col min="11532" max="11532" width="20.44140625" style="2" customWidth="1"/>
    <col min="11533" max="11533" width="17.5546875" style="2" customWidth="1"/>
    <col min="11534" max="11776" width="9.109375" style="2"/>
    <col min="11777" max="11777" width="10.88671875" style="2" customWidth="1"/>
    <col min="11778" max="11778" width="3.5546875" style="2" customWidth="1"/>
    <col min="11779" max="11779" width="9.109375" style="2"/>
    <col min="11780" max="11780" width="9.44140625" style="2" customWidth="1"/>
    <col min="11781" max="11781" width="3.44140625" style="2" customWidth="1"/>
    <col min="11782" max="11782" width="11.44140625" style="2" bestFit="1" customWidth="1"/>
    <col min="11783" max="11783" width="1.44140625" style="2" customWidth="1"/>
    <col min="11784" max="11784" width="14.5546875" style="2" customWidth="1"/>
    <col min="11785" max="11785" width="1" style="2" customWidth="1"/>
    <col min="11786" max="11786" width="12.109375" style="2" customWidth="1"/>
    <col min="11787" max="11787" width="14.109375" style="2" customWidth="1"/>
    <col min="11788" max="11788" width="20.44140625" style="2" customWidth="1"/>
    <col min="11789" max="11789" width="17.5546875" style="2" customWidth="1"/>
    <col min="11790" max="12032" width="9.109375" style="2"/>
    <col min="12033" max="12033" width="10.88671875" style="2" customWidth="1"/>
    <col min="12034" max="12034" width="3.5546875" style="2" customWidth="1"/>
    <col min="12035" max="12035" width="9.109375" style="2"/>
    <col min="12036" max="12036" width="9.44140625" style="2" customWidth="1"/>
    <col min="12037" max="12037" width="3.44140625" style="2" customWidth="1"/>
    <col min="12038" max="12038" width="11.44140625" style="2" bestFit="1" customWidth="1"/>
    <col min="12039" max="12039" width="1.44140625" style="2" customWidth="1"/>
    <col min="12040" max="12040" width="14.5546875" style="2" customWidth="1"/>
    <col min="12041" max="12041" width="1" style="2" customWidth="1"/>
    <col min="12042" max="12042" width="12.109375" style="2" customWidth="1"/>
    <col min="12043" max="12043" width="14.109375" style="2" customWidth="1"/>
    <col min="12044" max="12044" width="20.44140625" style="2" customWidth="1"/>
    <col min="12045" max="12045" width="17.5546875" style="2" customWidth="1"/>
    <col min="12046" max="12288" width="9.109375" style="2"/>
    <col min="12289" max="12289" width="10.88671875" style="2" customWidth="1"/>
    <col min="12290" max="12290" width="3.5546875" style="2" customWidth="1"/>
    <col min="12291" max="12291" width="9.109375" style="2"/>
    <col min="12292" max="12292" width="9.44140625" style="2" customWidth="1"/>
    <col min="12293" max="12293" width="3.44140625" style="2" customWidth="1"/>
    <col min="12294" max="12294" width="11.44140625" style="2" bestFit="1" customWidth="1"/>
    <col min="12295" max="12295" width="1.44140625" style="2" customWidth="1"/>
    <col min="12296" max="12296" width="14.5546875" style="2" customWidth="1"/>
    <col min="12297" max="12297" width="1" style="2" customWidth="1"/>
    <col min="12298" max="12298" width="12.109375" style="2" customWidth="1"/>
    <col min="12299" max="12299" width="14.109375" style="2" customWidth="1"/>
    <col min="12300" max="12300" width="20.44140625" style="2" customWidth="1"/>
    <col min="12301" max="12301" width="17.5546875" style="2" customWidth="1"/>
    <col min="12302" max="12544" width="9.109375" style="2"/>
    <col min="12545" max="12545" width="10.88671875" style="2" customWidth="1"/>
    <col min="12546" max="12546" width="3.5546875" style="2" customWidth="1"/>
    <col min="12547" max="12547" width="9.109375" style="2"/>
    <col min="12548" max="12548" width="9.44140625" style="2" customWidth="1"/>
    <col min="12549" max="12549" width="3.44140625" style="2" customWidth="1"/>
    <col min="12550" max="12550" width="11.44140625" style="2" bestFit="1" customWidth="1"/>
    <col min="12551" max="12551" width="1.44140625" style="2" customWidth="1"/>
    <col min="12552" max="12552" width="14.5546875" style="2" customWidth="1"/>
    <col min="12553" max="12553" width="1" style="2" customWidth="1"/>
    <col min="12554" max="12554" width="12.109375" style="2" customWidth="1"/>
    <col min="12555" max="12555" width="14.109375" style="2" customWidth="1"/>
    <col min="12556" max="12556" width="20.44140625" style="2" customWidth="1"/>
    <col min="12557" max="12557" width="17.5546875" style="2" customWidth="1"/>
    <col min="12558" max="12800" width="9.109375" style="2"/>
    <col min="12801" max="12801" width="10.88671875" style="2" customWidth="1"/>
    <col min="12802" max="12802" width="3.5546875" style="2" customWidth="1"/>
    <col min="12803" max="12803" width="9.109375" style="2"/>
    <col min="12804" max="12804" width="9.44140625" style="2" customWidth="1"/>
    <col min="12805" max="12805" width="3.44140625" style="2" customWidth="1"/>
    <col min="12806" max="12806" width="11.44140625" style="2" bestFit="1" customWidth="1"/>
    <col min="12807" max="12807" width="1.44140625" style="2" customWidth="1"/>
    <col min="12808" max="12808" width="14.5546875" style="2" customWidth="1"/>
    <col min="12809" max="12809" width="1" style="2" customWidth="1"/>
    <col min="12810" max="12810" width="12.109375" style="2" customWidth="1"/>
    <col min="12811" max="12811" width="14.109375" style="2" customWidth="1"/>
    <col min="12812" max="12812" width="20.44140625" style="2" customWidth="1"/>
    <col min="12813" max="12813" width="17.5546875" style="2" customWidth="1"/>
    <col min="12814" max="13056" width="9.109375" style="2"/>
    <col min="13057" max="13057" width="10.88671875" style="2" customWidth="1"/>
    <col min="13058" max="13058" width="3.5546875" style="2" customWidth="1"/>
    <col min="13059" max="13059" width="9.109375" style="2"/>
    <col min="13060" max="13060" width="9.44140625" style="2" customWidth="1"/>
    <col min="13061" max="13061" width="3.44140625" style="2" customWidth="1"/>
    <col min="13062" max="13062" width="11.44140625" style="2" bestFit="1" customWidth="1"/>
    <col min="13063" max="13063" width="1.44140625" style="2" customWidth="1"/>
    <col min="13064" max="13064" width="14.5546875" style="2" customWidth="1"/>
    <col min="13065" max="13065" width="1" style="2" customWidth="1"/>
    <col min="13066" max="13066" width="12.109375" style="2" customWidth="1"/>
    <col min="13067" max="13067" width="14.109375" style="2" customWidth="1"/>
    <col min="13068" max="13068" width="20.44140625" style="2" customWidth="1"/>
    <col min="13069" max="13069" width="17.5546875" style="2" customWidth="1"/>
    <col min="13070" max="13312" width="9.109375" style="2"/>
    <col min="13313" max="13313" width="10.88671875" style="2" customWidth="1"/>
    <col min="13314" max="13314" width="3.5546875" style="2" customWidth="1"/>
    <col min="13315" max="13315" width="9.109375" style="2"/>
    <col min="13316" max="13316" width="9.44140625" style="2" customWidth="1"/>
    <col min="13317" max="13317" width="3.44140625" style="2" customWidth="1"/>
    <col min="13318" max="13318" width="11.44140625" style="2" bestFit="1" customWidth="1"/>
    <col min="13319" max="13319" width="1.44140625" style="2" customWidth="1"/>
    <col min="13320" max="13320" width="14.5546875" style="2" customWidth="1"/>
    <col min="13321" max="13321" width="1" style="2" customWidth="1"/>
    <col min="13322" max="13322" width="12.109375" style="2" customWidth="1"/>
    <col min="13323" max="13323" width="14.109375" style="2" customWidth="1"/>
    <col min="13324" max="13324" width="20.44140625" style="2" customWidth="1"/>
    <col min="13325" max="13325" width="17.5546875" style="2" customWidth="1"/>
    <col min="13326" max="13568" width="9.109375" style="2"/>
    <col min="13569" max="13569" width="10.88671875" style="2" customWidth="1"/>
    <col min="13570" max="13570" width="3.5546875" style="2" customWidth="1"/>
    <col min="13571" max="13571" width="9.109375" style="2"/>
    <col min="13572" max="13572" width="9.44140625" style="2" customWidth="1"/>
    <col min="13573" max="13573" width="3.44140625" style="2" customWidth="1"/>
    <col min="13574" max="13574" width="11.44140625" style="2" bestFit="1" customWidth="1"/>
    <col min="13575" max="13575" width="1.44140625" style="2" customWidth="1"/>
    <col min="13576" max="13576" width="14.5546875" style="2" customWidth="1"/>
    <col min="13577" max="13577" width="1" style="2" customWidth="1"/>
    <col min="13578" max="13578" width="12.109375" style="2" customWidth="1"/>
    <col min="13579" max="13579" width="14.109375" style="2" customWidth="1"/>
    <col min="13580" max="13580" width="20.44140625" style="2" customWidth="1"/>
    <col min="13581" max="13581" width="17.5546875" style="2" customWidth="1"/>
    <col min="13582" max="13824" width="9.109375" style="2"/>
    <col min="13825" max="13825" width="10.88671875" style="2" customWidth="1"/>
    <col min="13826" max="13826" width="3.5546875" style="2" customWidth="1"/>
    <col min="13827" max="13827" width="9.109375" style="2"/>
    <col min="13828" max="13828" width="9.44140625" style="2" customWidth="1"/>
    <col min="13829" max="13829" width="3.44140625" style="2" customWidth="1"/>
    <col min="13830" max="13830" width="11.44140625" style="2" bestFit="1" customWidth="1"/>
    <col min="13831" max="13831" width="1.44140625" style="2" customWidth="1"/>
    <col min="13832" max="13832" width="14.5546875" style="2" customWidth="1"/>
    <col min="13833" max="13833" width="1" style="2" customWidth="1"/>
    <col min="13834" max="13834" width="12.109375" style="2" customWidth="1"/>
    <col min="13835" max="13835" width="14.109375" style="2" customWidth="1"/>
    <col min="13836" max="13836" width="20.44140625" style="2" customWidth="1"/>
    <col min="13837" max="13837" width="17.5546875" style="2" customWidth="1"/>
    <col min="13838" max="14080" width="9.109375" style="2"/>
    <col min="14081" max="14081" width="10.88671875" style="2" customWidth="1"/>
    <col min="14082" max="14082" width="3.5546875" style="2" customWidth="1"/>
    <col min="14083" max="14083" width="9.109375" style="2"/>
    <col min="14084" max="14084" width="9.44140625" style="2" customWidth="1"/>
    <col min="14085" max="14085" width="3.44140625" style="2" customWidth="1"/>
    <col min="14086" max="14086" width="11.44140625" style="2" bestFit="1" customWidth="1"/>
    <col min="14087" max="14087" width="1.44140625" style="2" customWidth="1"/>
    <col min="14088" max="14088" width="14.5546875" style="2" customWidth="1"/>
    <col min="14089" max="14089" width="1" style="2" customWidth="1"/>
    <col min="14090" max="14090" width="12.109375" style="2" customWidth="1"/>
    <col min="14091" max="14091" width="14.109375" style="2" customWidth="1"/>
    <col min="14092" max="14092" width="20.44140625" style="2" customWidth="1"/>
    <col min="14093" max="14093" width="17.5546875" style="2" customWidth="1"/>
    <col min="14094" max="14336" width="9.109375" style="2"/>
    <col min="14337" max="14337" width="10.88671875" style="2" customWidth="1"/>
    <col min="14338" max="14338" width="3.5546875" style="2" customWidth="1"/>
    <col min="14339" max="14339" width="9.109375" style="2"/>
    <col min="14340" max="14340" width="9.44140625" style="2" customWidth="1"/>
    <col min="14341" max="14341" width="3.44140625" style="2" customWidth="1"/>
    <col min="14342" max="14342" width="11.44140625" style="2" bestFit="1" customWidth="1"/>
    <col min="14343" max="14343" width="1.44140625" style="2" customWidth="1"/>
    <col min="14344" max="14344" width="14.5546875" style="2" customWidth="1"/>
    <col min="14345" max="14345" width="1" style="2" customWidth="1"/>
    <col min="14346" max="14346" width="12.109375" style="2" customWidth="1"/>
    <col min="14347" max="14347" width="14.109375" style="2" customWidth="1"/>
    <col min="14348" max="14348" width="20.44140625" style="2" customWidth="1"/>
    <col min="14349" max="14349" width="17.5546875" style="2" customWidth="1"/>
    <col min="14350" max="14592" width="9.109375" style="2"/>
    <col min="14593" max="14593" width="10.88671875" style="2" customWidth="1"/>
    <col min="14594" max="14594" width="3.5546875" style="2" customWidth="1"/>
    <col min="14595" max="14595" width="9.109375" style="2"/>
    <col min="14596" max="14596" width="9.44140625" style="2" customWidth="1"/>
    <col min="14597" max="14597" width="3.44140625" style="2" customWidth="1"/>
    <col min="14598" max="14598" width="11.44140625" style="2" bestFit="1" customWidth="1"/>
    <col min="14599" max="14599" width="1.44140625" style="2" customWidth="1"/>
    <col min="14600" max="14600" width="14.5546875" style="2" customWidth="1"/>
    <col min="14601" max="14601" width="1" style="2" customWidth="1"/>
    <col min="14602" max="14602" width="12.109375" style="2" customWidth="1"/>
    <col min="14603" max="14603" width="14.109375" style="2" customWidth="1"/>
    <col min="14604" max="14604" width="20.44140625" style="2" customWidth="1"/>
    <col min="14605" max="14605" width="17.5546875" style="2" customWidth="1"/>
    <col min="14606" max="14848" width="9.109375" style="2"/>
    <col min="14849" max="14849" width="10.88671875" style="2" customWidth="1"/>
    <col min="14850" max="14850" width="3.5546875" style="2" customWidth="1"/>
    <col min="14851" max="14851" width="9.109375" style="2"/>
    <col min="14852" max="14852" width="9.44140625" style="2" customWidth="1"/>
    <col min="14853" max="14853" width="3.44140625" style="2" customWidth="1"/>
    <col min="14854" max="14854" width="11.44140625" style="2" bestFit="1" customWidth="1"/>
    <col min="14855" max="14855" width="1.44140625" style="2" customWidth="1"/>
    <col min="14856" max="14856" width="14.5546875" style="2" customWidth="1"/>
    <col min="14857" max="14857" width="1" style="2" customWidth="1"/>
    <col min="14858" max="14858" width="12.109375" style="2" customWidth="1"/>
    <col min="14859" max="14859" width="14.109375" style="2" customWidth="1"/>
    <col min="14860" max="14860" width="20.44140625" style="2" customWidth="1"/>
    <col min="14861" max="14861" width="17.5546875" style="2" customWidth="1"/>
    <col min="14862" max="15104" width="9.109375" style="2"/>
    <col min="15105" max="15105" width="10.88671875" style="2" customWidth="1"/>
    <col min="15106" max="15106" width="3.5546875" style="2" customWidth="1"/>
    <col min="15107" max="15107" width="9.109375" style="2"/>
    <col min="15108" max="15108" width="9.44140625" style="2" customWidth="1"/>
    <col min="15109" max="15109" width="3.44140625" style="2" customWidth="1"/>
    <col min="15110" max="15110" width="11.44140625" style="2" bestFit="1" customWidth="1"/>
    <col min="15111" max="15111" width="1.44140625" style="2" customWidth="1"/>
    <col min="15112" max="15112" width="14.5546875" style="2" customWidth="1"/>
    <col min="15113" max="15113" width="1" style="2" customWidth="1"/>
    <col min="15114" max="15114" width="12.109375" style="2" customWidth="1"/>
    <col min="15115" max="15115" width="14.109375" style="2" customWidth="1"/>
    <col min="15116" max="15116" width="20.44140625" style="2" customWidth="1"/>
    <col min="15117" max="15117" width="17.5546875" style="2" customWidth="1"/>
    <col min="15118" max="15360" width="9.109375" style="2"/>
    <col min="15361" max="15361" width="10.88671875" style="2" customWidth="1"/>
    <col min="15362" max="15362" width="3.5546875" style="2" customWidth="1"/>
    <col min="15363" max="15363" width="9.109375" style="2"/>
    <col min="15364" max="15364" width="9.44140625" style="2" customWidth="1"/>
    <col min="15365" max="15365" width="3.44140625" style="2" customWidth="1"/>
    <col min="15366" max="15366" width="11.44140625" style="2" bestFit="1" customWidth="1"/>
    <col min="15367" max="15367" width="1.44140625" style="2" customWidth="1"/>
    <col min="15368" max="15368" width="14.5546875" style="2" customWidth="1"/>
    <col min="15369" max="15369" width="1" style="2" customWidth="1"/>
    <col min="15370" max="15370" width="12.109375" style="2" customWidth="1"/>
    <col min="15371" max="15371" width="14.109375" style="2" customWidth="1"/>
    <col min="15372" max="15372" width="20.44140625" style="2" customWidth="1"/>
    <col min="15373" max="15373" width="17.5546875" style="2" customWidth="1"/>
    <col min="15374" max="15616" width="9.109375" style="2"/>
    <col min="15617" max="15617" width="10.88671875" style="2" customWidth="1"/>
    <col min="15618" max="15618" width="3.5546875" style="2" customWidth="1"/>
    <col min="15619" max="15619" width="9.109375" style="2"/>
    <col min="15620" max="15620" width="9.44140625" style="2" customWidth="1"/>
    <col min="15621" max="15621" width="3.44140625" style="2" customWidth="1"/>
    <col min="15622" max="15622" width="11.44140625" style="2" bestFit="1" customWidth="1"/>
    <col min="15623" max="15623" width="1.44140625" style="2" customWidth="1"/>
    <col min="15624" max="15624" width="14.5546875" style="2" customWidth="1"/>
    <col min="15625" max="15625" width="1" style="2" customWidth="1"/>
    <col min="15626" max="15626" width="12.109375" style="2" customWidth="1"/>
    <col min="15627" max="15627" width="14.109375" style="2" customWidth="1"/>
    <col min="15628" max="15628" width="20.44140625" style="2" customWidth="1"/>
    <col min="15629" max="15629" width="17.5546875" style="2" customWidth="1"/>
    <col min="15630" max="15872" width="9.109375" style="2"/>
    <col min="15873" max="15873" width="10.88671875" style="2" customWidth="1"/>
    <col min="15874" max="15874" width="3.5546875" style="2" customWidth="1"/>
    <col min="15875" max="15875" width="9.109375" style="2"/>
    <col min="15876" max="15876" width="9.44140625" style="2" customWidth="1"/>
    <col min="15877" max="15877" width="3.44140625" style="2" customWidth="1"/>
    <col min="15878" max="15878" width="11.44140625" style="2" bestFit="1" customWidth="1"/>
    <col min="15879" max="15879" width="1.44140625" style="2" customWidth="1"/>
    <col min="15880" max="15880" width="14.5546875" style="2" customWidth="1"/>
    <col min="15881" max="15881" width="1" style="2" customWidth="1"/>
    <col min="15882" max="15882" width="12.109375" style="2" customWidth="1"/>
    <col min="15883" max="15883" width="14.109375" style="2" customWidth="1"/>
    <col min="15884" max="15884" width="20.44140625" style="2" customWidth="1"/>
    <col min="15885" max="15885" width="17.5546875" style="2" customWidth="1"/>
    <col min="15886" max="16128" width="9.109375" style="2"/>
    <col min="16129" max="16129" width="10.88671875" style="2" customWidth="1"/>
    <col min="16130" max="16130" width="3.5546875" style="2" customWidth="1"/>
    <col min="16131" max="16131" width="9.109375" style="2"/>
    <col min="16132" max="16132" width="9.44140625" style="2" customWidth="1"/>
    <col min="16133" max="16133" width="3.44140625" style="2" customWidth="1"/>
    <col min="16134" max="16134" width="11.44140625" style="2" bestFit="1" customWidth="1"/>
    <col min="16135" max="16135" width="1.44140625" style="2" customWidth="1"/>
    <col min="16136" max="16136" width="14.5546875" style="2" customWidth="1"/>
    <col min="16137" max="16137" width="1" style="2" customWidth="1"/>
    <col min="16138" max="16138" width="12.109375" style="2" customWidth="1"/>
    <col min="16139" max="16139" width="14.109375" style="2" customWidth="1"/>
    <col min="16140" max="16140" width="20.44140625" style="2" customWidth="1"/>
    <col min="16141" max="16141" width="17.5546875" style="2" customWidth="1"/>
    <col min="16142" max="16384" width="9.109375" style="2"/>
  </cols>
  <sheetData>
    <row r="1" spans="1:12" ht="15" customHeight="1" x14ac:dyDescent="0.3">
      <c r="A1" s="1" t="s">
        <v>29</v>
      </c>
      <c r="E1" s="3" t="s">
        <v>30</v>
      </c>
      <c r="G1" s="4" t="s">
        <v>31</v>
      </c>
      <c r="H1" s="5"/>
    </row>
    <row r="2" spans="1:12" ht="12.75" customHeight="1" x14ac:dyDescent="0.25">
      <c r="A2" s="7" t="s">
        <v>32</v>
      </c>
      <c r="G2" s="3" t="s">
        <v>33</v>
      </c>
    </row>
    <row r="3" spans="1:12" ht="12.75" customHeight="1" x14ac:dyDescent="0.25">
      <c r="A3" s="8" t="s">
        <v>34</v>
      </c>
      <c r="C3" s="8"/>
      <c r="E3" s="3"/>
      <c r="G3" s="3" t="s">
        <v>35</v>
      </c>
      <c r="H3" s="2"/>
      <c r="L3" s="2"/>
    </row>
    <row r="4" spans="1:12" ht="12.75" customHeight="1" x14ac:dyDescent="0.25">
      <c r="G4" s="3" t="s">
        <v>36</v>
      </c>
    </row>
    <row r="5" spans="1:12" ht="12.75" customHeight="1" x14ac:dyDescent="0.25">
      <c r="A5" s="3"/>
      <c r="G5" s="3" t="s">
        <v>37</v>
      </c>
    </row>
    <row r="6" spans="1:12" ht="12.75" customHeight="1" x14ac:dyDescent="0.25">
      <c r="G6" s="3"/>
    </row>
    <row r="7" spans="1:12" ht="12.75" customHeight="1" x14ac:dyDescent="0.25">
      <c r="A7" s="9" t="s">
        <v>38</v>
      </c>
      <c r="C7" s="37" t="s">
        <v>176</v>
      </c>
      <c r="D7" s="10"/>
      <c r="E7" s="10"/>
      <c r="F7" s="10"/>
      <c r="G7" s="10"/>
      <c r="H7" s="11"/>
      <c r="I7" s="10"/>
      <c r="J7" s="10"/>
      <c r="K7" s="10"/>
      <c r="L7" s="11"/>
    </row>
    <row r="8" spans="1:12" ht="12.75" customHeight="1" x14ac:dyDescent="0.25"/>
    <row r="9" spans="1:12" ht="12.75" customHeight="1" x14ac:dyDescent="0.25">
      <c r="A9" s="9" t="s">
        <v>39</v>
      </c>
      <c r="B9" s="10"/>
      <c r="C9" s="37">
        <v>1682</v>
      </c>
      <c r="D9" s="9" t="s">
        <v>40</v>
      </c>
      <c r="F9" s="37" t="s">
        <v>175</v>
      </c>
      <c r="G9" s="10"/>
      <c r="H9" s="11"/>
      <c r="I9" s="10"/>
      <c r="J9" s="10"/>
      <c r="K9" s="9" t="s">
        <v>41</v>
      </c>
      <c r="L9" s="39" t="s">
        <v>141</v>
      </c>
    </row>
    <row r="10" spans="1:12" ht="12.75" customHeight="1" x14ac:dyDescent="0.25">
      <c r="A10" s="9"/>
      <c r="D10" s="9"/>
      <c r="K10" s="9"/>
    </row>
    <row r="11" spans="1:12" ht="12.75" customHeight="1" x14ac:dyDescent="0.25">
      <c r="A11" s="9" t="s">
        <v>42</v>
      </c>
      <c r="D11" s="9"/>
      <c r="H11" s="38" t="s">
        <v>140</v>
      </c>
      <c r="I11" s="10"/>
      <c r="J11" s="10"/>
      <c r="K11" s="9"/>
    </row>
    <row r="12" spans="1:12" ht="12.75" customHeight="1" x14ac:dyDescent="0.25">
      <c r="A12" s="9" t="s">
        <v>43</v>
      </c>
      <c r="D12" s="9"/>
      <c r="K12" s="12" t="s">
        <v>177</v>
      </c>
      <c r="L12" s="11"/>
    </row>
    <row r="13" spans="1:12" ht="12.75" customHeight="1" x14ac:dyDescent="0.25"/>
    <row r="14" spans="1:12" ht="12.75" customHeight="1" x14ac:dyDescent="0.25">
      <c r="A14" s="8" t="s">
        <v>44</v>
      </c>
    </row>
    <row r="15" spans="1:12" ht="12.75" customHeight="1" x14ac:dyDescent="0.25">
      <c r="A15" s="2" t="s">
        <v>45</v>
      </c>
      <c r="E15" s="2" t="s">
        <v>46</v>
      </c>
      <c r="L15" s="41">
        <f>'Billing Rate Calculation'!B6</f>
        <v>0</v>
      </c>
    </row>
    <row r="16" spans="1:12" ht="12.75" customHeight="1" x14ac:dyDescent="0.25"/>
    <row r="17" spans="1:12" ht="12.75" customHeight="1" x14ac:dyDescent="0.25">
      <c r="A17" s="2" t="s">
        <v>47</v>
      </c>
      <c r="L17" s="41">
        <f>'Billing Rate Calculation'!B7</f>
        <v>0</v>
      </c>
    </row>
    <row r="18" spans="1:12" ht="12.75" customHeight="1" x14ac:dyDescent="0.25"/>
    <row r="19" spans="1:12" ht="12.75" customHeight="1" x14ac:dyDescent="0.25">
      <c r="A19" s="2" t="s">
        <v>48</v>
      </c>
      <c r="L19" s="11">
        <f>'Billing Rate Calculation'!B8</f>
        <v>24900</v>
      </c>
    </row>
    <row r="20" spans="1:12" ht="12.75" customHeight="1" x14ac:dyDescent="0.25"/>
    <row r="21" spans="1:12" ht="12.75" customHeight="1" x14ac:dyDescent="0.25">
      <c r="A21" s="2" t="s">
        <v>49</v>
      </c>
      <c r="F21" s="2" t="s">
        <v>50</v>
      </c>
      <c r="H21" s="13"/>
      <c r="L21" s="11">
        <f>'Billing Rate Calculation'!B16</f>
        <v>0</v>
      </c>
    </row>
    <row r="22" spans="1:12" ht="12.75" customHeight="1" x14ac:dyDescent="0.25"/>
    <row r="23" spans="1:12" ht="12.75" customHeight="1" thickBot="1" x14ac:dyDescent="0.3">
      <c r="A23" s="14" t="s">
        <v>51</v>
      </c>
      <c r="B23" s="8" t="s">
        <v>52</v>
      </c>
      <c r="J23" s="2" t="s">
        <v>53</v>
      </c>
      <c r="L23" s="15">
        <f>SUM(L15:L21)</f>
        <v>24900</v>
      </c>
    </row>
    <row r="24" spans="1:12" ht="12.75" customHeight="1" thickTop="1" x14ac:dyDescent="0.25"/>
    <row r="25" spans="1:12" ht="12.75" customHeight="1" x14ac:dyDescent="0.25">
      <c r="A25" s="8" t="s">
        <v>54</v>
      </c>
    </row>
    <row r="26" spans="1:12" ht="12.75" customHeight="1" x14ac:dyDescent="0.25">
      <c r="A26" s="2" t="s">
        <v>55</v>
      </c>
      <c r="E26" s="16" t="s">
        <v>56</v>
      </c>
      <c r="L26" s="41">
        <f>'Billing Rate Calculation'!B24</f>
        <v>0</v>
      </c>
    </row>
    <row r="27" spans="1:12" ht="12.75" customHeight="1" x14ac:dyDescent="0.25"/>
    <row r="28" spans="1:12" ht="12.75" customHeight="1" x14ac:dyDescent="0.25">
      <c r="F28" s="17" t="s">
        <v>20</v>
      </c>
      <c r="G28" s="17"/>
    </row>
    <row r="29" spans="1:12" ht="12.75" customHeight="1" x14ac:dyDescent="0.25">
      <c r="A29" s="2" t="s">
        <v>57</v>
      </c>
      <c r="F29" s="18" t="s">
        <v>58</v>
      </c>
      <c r="G29" s="17"/>
      <c r="H29" s="19" t="s">
        <v>18</v>
      </c>
      <c r="I29" s="17"/>
      <c r="J29" s="18" t="s">
        <v>20</v>
      </c>
    </row>
    <row r="30" spans="1:12" ht="12.75" customHeight="1" x14ac:dyDescent="0.25"/>
    <row r="31" spans="1:12" ht="12.75" customHeight="1" x14ac:dyDescent="0.25">
      <c r="A31" s="2" t="s">
        <v>59</v>
      </c>
      <c r="F31" s="42">
        <v>25.3</v>
      </c>
      <c r="G31" s="14"/>
      <c r="H31" s="11">
        <v>0</v>
      </c>
      <c r="J31" s="11">
        <f>H31*F31*0.01</f>
        <v>0</v>
      </c>
      <c r="L31" s="11">
        <f>H31+J31</f>
        <v>0</v>
      </c>
    </row>
    <row r="32" spans="1:12" ht="12.75" customHeight="1" x14ac:dyDescent="0.25">
      <c r="J32" s="6"/>
    </row>
    <row r="33" spans="1:12" ht="12.75" customHeight="1" x14ac:dyDescent="0.25">
      <c r="A33" s="2" t="s">
        <v>60</v>
      </c>
      <c r="F33" s="42">
        <v>25.3</v>
      </c>
      <c r="G33" s="14"/>
      <c r="H33" s="11">
        <f>'Billing Rate Calculation'!B29</f>
        <v>2220</v>
      </c>
      <c r="J33" s="11">
        <f>'Billing Rate Calculation'!B28</f>
        <v>564</v>
      </c>
      <c r="L33" s="11">
        <f>H33+J33</f>
        <v>2784</v>
      </c>
    </row>
    <row r="34" spans="1:12" ht="12.75" customHeight="1" x14ac:dyDescent="0.25">
      <c r="J34" s="6"/>
    </row>
    <row r="35" spans="1:12" ht="12.75" customHeight="1" x14ac:dyDescent="0.25">
      <c r="A35" s="2" t="s">
        <v>61</v>
      </c>
      <c r="F35" s="43">
        <v>36.700000000000003</v>
      </c>
      <c r="G35" s="14"/>
      <c r="H35" s="11">
        <v>0</v>
      </c>
      <c r="J35" s="11">
        <f>H35*F35*0.01</f>
        <v>0</v>
      </c>
      <c r="L35" s="11">
        <f>H35+J35</f>
        <v>0</v>
      </c>
    </row>
    <row r="36" spans="1:12" ht="12.75" customHeight="1" x14ac:dyDescent="0.25">
      <c r="J36" s="6"/>
    </row>
    <row r="37" spans="1:12" ht="12.75" customHeight="1" x14ac:dyDescent="0.25">
      <c r="A37" s="2" t="s">
        <v>62</v>
      </c>
      <c r="F37" s="43">
        <v>1</v>
      </c>
      <c r="G37" s="14"/>
      <c r="H37" s="11">
        <f>'Billing Rate Calculation'!B31</f>
        <v>15444</v>
      </c>
      <c r="J37" s="11">
        <f>'Billing Rate Calculation'!B32</f>
        <v>132</v>
      </c>
      <c r="L37" s="11">
        <f>H37+J37</f>
        <v>15576</v>
      </c>
    </row>
    <row r="38" spans="1:12" ht="12.75" customHeight="1" x14ac:dyDescent="0.25">
      <c r="J38" s="6"/>
    </row>
    <row r="39" spans="1:12" ht="12.75" customHeight="1" x14ac:dyDescent="0.25">
      <c r="A39" s="2" t="s">
        <v>63</v>
      </c>
      <c r="H39" s="11">
        <v>0</v>
      </c>
      <c r="J39" s="11">
        <v>0</v>
      </c>
      <c r="L39" s="11">
        <f>H39+J39</f>
        <v>0</v>
      </c>
    </row>
    <row r="40" spans="1:12" ht="12.75" customHeight="1" x14ac:dyDescent="0.25">
      <c r="J40" s="6"/>
    </row>
    <row r="41" spans="1:12" ht="12.75" customHeight="1" thickBot="1" x14ac:dyDescent="0.3">
      <c r="A41" s="8" t="s">
        <v>64</v>
      </c>
      <c r="H41" s="15">
        <f>SUM(H31:H39)</f>
        <v>17664</v>
      </c>
      <c r="J41" s="15">
        <f>SUM(J31:J39)</f>
        <v>696</v>
      </c>
      <c r="L41" s="11">
        <f>H41+J41</f>
        <v>18360</v>
      </c>
    </row>
    <row r="42" spans="1:12" ht="12.75" customHeight="1" thickTop="1" x14ac:dyDescent="0.25"/>
    <row r="43" spans="1:12" ht="12.75" customHeight="1" x14ac:dyDescent="0.25">
      <c r="A43" s="2" t="s">
        <v>65</v>
      </c>
      <c r="L43" s="11">
        <f>'Billing Rate Calculation'!B35</f>
        <v>0</v>
      </c>
    </row>
    <row r="44" spans="1:12" ht="12.75" customHeight="1" x14ac:dyDescent="0.25"/>
    <row r="45" spans="1:12" ht="12.75" customHeight="1" x14ac:dyDescent="0.25">
      <c r="A45" s="2" t="s">
        <v>66</v>
      </c>
      <c r="L45" s="11">
        <f>'Billing Rate Calculation'!B39</f>
        <v>6240</v>
      </c>
    </row>
    <row r="46" spans="1:12" ht="12.75" customHeight="1" x14ac:dyDescent="0.25"/>
    <row r="47" spans="1:12" ht="12.75" customHeight="1" x14ac:dyDescent="0.25">
      <c r="A47" s="2" t="s">
        <v>67</v>
      </c>
    </row>
    <row r="48" spans="1:12" ht="12.75" customHeight="1" x14ac:dyDescent="0.25">
      <c r="A48" s="2" t="s">
        <v>68</v>
      </c>
    </row>
    <row r="49" spans="1:12" ht="12.75" customHeight="1" x14ac:dyDescent="0.25">
      <c r="A49" s="2" t="s">
        <v>69</v>
      </c>
      <c r="H49" s="11">
        <f>'Billing Rate Calculation'!B41</f>
        <v>300</v>
      </c>
      <c r="I49" s="10"/>
    </row>
    <row r="50" spans="1:12" ht="12.75" customHeight="1" x14ac:dyDescent="0.25"/>
    <row r="51" spans="1:12" ht="12.75" customHeight="1" x14ac:dyDescent="0.25">
      <c r="A51" s="2" t="s">
        <v>70</v>
      </c>
      <c r="H51" s="11">
        <v>0</v>
      </c>
      <c r="I51" s="10"/>
    </row>
    <row r="52" spans="1:12" ht="12.75" customHeight="1" x14ac:dyDescent="0.25"/>
    <row r="53" spans="1:12" ht="12.75" customHeight="1" x14ac:dyDescent="0.25">
      <c r="A53" s="2" t="s">
        <v>71</v>
      </c>
      <c r="H53" s="11">
        <v>0</v>
      </c>
      <c r="I53" s="10"/>
    </row>
    <row r="54" spans="1:12" ht="12.75" customHeight="1" x14ac:dyDescent="0.25"/>
    <row r="55" spans="1:12" ht="12.75" customHeight="1" x14ac:dyDescent="0.25">
      <c r="A55" s="2" t="s">
        <v>72</v>
      </c>
      <c r="H55" s="11">
        <v>0</v>
      </c>
      <c r="I55" s="10"/>
    </row>
    <row r="56" spans="1:12" ht="12.75" customHeight="1" x14ac:dyDescent="0.25"/>
    <row r="57" spans="1:12" ht="12.75" customHeight="1" x14ac:dyDescent="0.25">
      <c r="A57" s="2" t="s">
        <v>73</v>
      </c>
      <c r="H57" s="11">
        <v>0</v>
      </c>
      <c r="I57" s="10"/>
    </row>
    <row r="58" spans="1:12" ht="12.75" customHeight="1" x14ac:dyDescent="0.25"/>
    <row r="59" spans="1:12" ht="12.75" customHeight="1" x14ac:dyDescent="0.25">
      <c r="A59" s="2" t="s">
        <v>74</v>
      </c>
      <c r="H59" s="11">
        <v>0</v>
      </c>
      <c r="I59" s="10"/>
    </row>
    <row r="60" spans="1:12" ht="12.75" customHeight="1" x14ac:dyDescent="0.25"/>
    <row r="61" spans="1:12" ht="12.75" customHeight="1" x14ac:dyDescent="0.25">
      <c r="A61" s="2" t="s">
        <v>75</v>
      </c>
      <c r="C61" s="2" t="s">
        <v>76</v>
      </c>
      <c r="L61" s="11">
        <f>SUM(H49:H59)</f>
        <v>300</v>
      </c>
    </row>
    <row r="62" spans="1:12" ht="12.75" customHeight="1" x14ac:dyDescent="0.25"/>
    <row r="63" spans="1:12" ht="12.75" customHeight="1" x14ac:dyDescent="0.25">
      <c r="A63" s="2" t="s">
        <v>77</v>
      </c>
      <c r="L63" s="11">
        <v>0</v>
      </c>
    </row>
    <row r="64" spans="1:12" ht="12.75" customHeight="1" x14ac:dyDescent="0.25"/>
    <row r="65" spans="1:12" ht="12.75" customHeight="1" x14ac:dyDescent="0.25">
      <c r="A65" s="2" t="s">
        <v>78</v>
      </c>
      <c r="L65" s="11">
        <v>0</v>
      </c>
    </row>
    <row r="66" spans="1:12" ht="12.75" customHeight="1" x14ac:dyDescent="0.25"/>
    <row r="67" spans="1:12" ht="12.75" customHeight="1" thickBot="1" x14ac:dyDescent="0.3">
      <c r="A67" s="14" t="s">
        <v>79</v>
      </c>
      <c r="B67" s="8" t="s">
        <v>80</v>
      </c>
      <c r="J67" s="2" t="s">
        <v>53</v>
      </c>
      <c r="L67" s="15">
        <f>L26+SUM(L41:L65)</f>
        <v>24900</v>
      </c>
    </row>
    <row r="68" spans="1:12" ht="12.75" customHeight="1" thickTop="1" x14ac:dyDescent="0.25"/>
    <row r="69" spans="1:12" ht="12.75" customHeight="1" x14ac:dyDescent="0.25">
      <c r="A69" s="8" t="s">
        <v>81</v>
      </c>
    </row>
    <row r="70" spans="1:12" ht="12.75" customHeight="1" x14ac:dyDescent="0.25"/>
    <row r="71" spans="1:12" ht="12.75" customHeight="1" x14ac:dyDescent="0.25">
      <c r="A71" s="2" t="s">
        <v>82</v>
      </c>
      <c r="L71" s="11">
        <v>0</v>
      </c>
    </row>
    <row r="72" spans="1:12" ht="12.75" customHeight="1" x14ac:dyDescent="0.25"/>
    <row r="73" spans="1:12" ht="12.75" customHeight="1" x14ac:dyDescent="0.25">
      <c r="A73" s="2" t="s">
        <v>83</v>
      </c>
      <c r="C73" s="2" t="s">
        <v>84</v>
      </c>
      <c r="L73" s="11">
        <f>L23</f>
        <v>24900</v>
      </c>
    </row>
    <row r="74" spans="1:12" ht="12.75" customHeight="1" x14ac:dyDescent="0.25"/>
    <row r="75" spans="1:12" ht="12.75" customHeight="1" x14ac:dyDescent="0.25">
      <c r="A75" s="2" t="s">
        <v>85</v>
      </c>
      <c r="C75" s="2" t="s">
        <v>86</v>
      </c>
      <c r="L75" s="11">
        <v>0</v>
      </c>
    </row>
    <row r="76" spans="1:12" ht="12.75" customHeight="1" x14ac:dyDescent="0.25"/>
    <row r="77" spans="1:12" ht="12.75" customHeight="1" x14ac:dyDescent="0.25">
      <c r="A77" s="2" t="s">
        <v>87</v>
      </c>
      <c r="C77" s="2" t="s">
        <v>88</v>
      </c>
      <c r="L77" s="11">
        <f>-L67</f>
        <v>-24900</v>
      </c>
    </row>
    <row r="78" spans="1:12" ht="12.75" customHeight="1" x14ac:dyDescent="0.25"/>
    <row r="79" spans="1:12" ht="12.75" customHeight="1" x14ac:dyDescent="0.25">
      <c r="A79" s="2" t="s">
        <v>89</v>
      </c>
      <c r="J79" s="2" t="s">
        <v>53</v>
      </c>
      <c r="L79" s="11">
        <f>SUM(L70:L77)</f>
        <v>0</v>
      </c>
    </row>
    <row r="80" spans="1:12" ht="12.75" customHeight="1" x14ac:dyDescent="0.25"/>
    <row r="81" spans="1:12" ht="12.75" customHeight="1" x14ac:dyDescent="0.25">
      <c r="A81" s="8" t="s">
        <v>90</v>
      </c>
    </row>
    <row r="82" spans="1:12" ht="12.75" customHeight="1" x14ac:dyDescent="0.25"/>
    <row r="83" spans="1:12" ht="12.75" customHeight="1" x14ac:dyDescent="0.25">
      <c r="A83" s="2" t="s">
        <v>91</v>
      </c>
      <c r="L83" s="11">
        <v>0</v>
      </c>
    </row>
    <row r="84" spans="1:12" ht="12.75" customHeight="1" x14ac:dyDescent="0.25"/>
    <row r="85" spans="1:12" ht="12.75" customHeight="1" x14ac:dyDescent="0.25">
      <c r="A85" s="2" t="s">
        <v>83</v>
      </c>
      <c r="C85" s="2" t="s">
        <v>84</v>
      </c>
      <c r="L85" s="11">
        <f>L23</f>
        <v>24900</v>
      </c>
    </row>
    <row r="86" spans="1:12" ht="12.75" customHeight="1" x14ac:dyDescent="0.25"/>
    <row r="87" spans="1:12" ht="12.75" customHeight="1" x14ac:dyDescent="0.25">
      <c r="A87" s="2" t="s">
        <v>85</v>
      </c>
      <c r="C87" s="2" t="s">
        <v>86</v>
      </c>
      <c r="L87" s="11">
        <f>L75</f>
        <v>0</v>
      </c>
    </row>
    <row r="88" spans="1:12" ht="12.75" customHeight="1" x14ac:dyDescent="0.25"/>
    <row r="89" spans="1:12" ht="12.75" customHeight="1" x14ac:dyDescent="0.25">
      <c r="C89" s="2" t="s">
        <v>92</v>
      </c>
      <c r="L89" s="11">
        <f>SUM(L83:L87)</f>
        <v>24900</v>
      </c>
    </row>
    <row r="90" spans="1:12" ht="12.75" customHeight="1" x14ac:dyDescent="0.25"/>
    <row r="91" spans="1:12" ht="12.75" customHeight="1" x14ac:dyDescent="0.25">
      <c r="A91" s="2" t="s">
        <v>87</v>
      </c>
      <c r="C91" s="2" t="s">
        <v>93</v>
      </c>
      <c r="L91" s="11">
        <f>-L67+H55</f>
        <v>-24900</v>
      </c>
    </row>
    <row r="92" spans="1:12" ht="12.75" customHeight="1" x14ac:dyDescent="0.25"/>
    <row r="93" spans="1:12" ht="12.75" customHeight="1" x14ac:dyDescent="0.25">
      <c r="A93" s="2" t="s">
        <v>87</v>
      </c>
      <c r="C93" s="2" t="s">
        <v>94</v>
      </c>
      <c r="L93" s="11">
        <v>0</v>
      </c>
    </row>
    <row r="94" spans="1:12" ht="12.75" customHeight="1" x14ac:dyDescent="0.25"/>
    <row r="95" spans="1:12" ht="12.75" customHeight="1" x14ac:dyDescent="0.25">
      <c r="A95" s="2" t="s">
        <v>95</v>
      </c>
      <c r="L95" s="11">
        <f>SUM(L89:L91)-L93</f>
        <v>0</v>
      </c>
    </row>
    <row r="96" spans="1:12" ht="12.75" customHeight="1" x14ac:dyDescent="0.25"/>
    <row r="97" spans="1:12" ht="12.75" customHeight="1" x14ac:dyDescent="0.25">
      <c r="A97" s="8" t="s">
        <v>96</v>
      </c>
      <c r="B97" s="2" t="s">
        <v>97</v>
      </c>
    </row>
    <row r="98" spans="1:12" ht="12.75" customHeight="1" x14ac:dyDescent="0.25"/>
    <row r="99" spans="1:12" ht="12.75" customHeight="1" x14ac:dyDescent="0.25"/>
    <row r="100" spans="1:12" ht="12.75" customHeight="1" x14ac:dyDescent="0.25">
      <c r="A100" s="8" t="s">
        <v>98</v>
      </c>
      <c r="D100" s="8" t="s">
        <v>99</v>
      </c>
    </row>
    <row r="101" spans="1:12" ht="12.75" customHeight="1" thickBot="1" x14ac:dyDescent="0.3">
      <c r="A101" s="8" t="s">
        <v>100</v>
      </c>
      <c r="D101" s="8"/>
    </row>
    <row r="102" spans="1:12" ht="12.75" customHeight="1" x14ac:dyDescent="0.25">
      <c r="A102" s="20"/>
      <c r="B102" s="21"/>
      <c r="C102" s="21"/>
      <c r="D102" s="22"/>
      <c r="E102" s="21"/>
      <c r="F102" s="21"/>
      <c r="G102" s="21"/>
      <c r="H102" s="23"/>
      <c r="I102" s="21"/>
      <c r="J102" s="21"/>
      <c r="K102" s="21"/>
      <c r="L102" s="24"/>
    </row>
    <row r="103" spans="1:12" ht="12.75" customHeight="1" x14ac:dyDescent="0.25">
      <c r="A103" s="25"/>
      <c r="L103" s="26"/>
    </row>
    <row r="104" spans="1:12" ht="12.75" customHeight="1" x14ac:dyDescent="0.25">
      <c r="A104" s="27"/>
      <c r="B104" s="10"/>
      <c r="C104" s="10"/>
      <c r="D104" s="10"/>
      <c r="E104" s="10"/>
      <c r="F104" s="10"/>
      <c r="G104" s="10"/>
      <c r="H104" s="11"/>
      <c r="I104" s="10"/>
      <c r="J104" s="10" t="s">
        <v>147</v>
      </c>
      <c r="K104" s="10"/>
      <c r="L104" s="28"/>
    </row>
    <row r="105" spans="1:12" ht="12.75" customHeight="1" x14ac:dyDescent="0.25">
      <c r="A105" s="25" t="s">
        <v>101</v>
      </c>
      <c r="D105" s="2" t="s">
        <v>102</v>
      </c>
      <c r="J105" s="2" t="s">
        <v>103</v>
      </c>
      <c r="L105" s="26" t="s">
        <v>104</v>
      </c>
    </row>
    <row r="106" spans="1:12" ht="12.75" customHeight="1" x14ac:dyDescent="0.25">
      <c r="A106" s="25"/>
      <c r="L106" s="26"/>
    </row>
    <row r="107" spans="1:12" ht="12.75" customHeight="1" x14ac:dyDescent="0.25">
      <c r="A107" s="27"/>
      <c r="B107" s="10"/>
      <c r="C107" s="10"/>
      <c r="D107" s="10"/>
      <c r="E107" s="10"/>
      <c r="F107" s="10"/>
      <c r="G107" s="10"/>
      <c r="H107" s="11"/>
      <c r="I107" s="10"/>
      <c r="J107" s="10" t="s">
        <v>140</v>
      </c>
      <c r="K107" s="10"/>
      <c r="L107" s="28"/>
    </row>
    <row r="108" spans="1:12" ht="12.75" customHeight="1" x14ac:dyDescent="0.25">
      <c r="A108" s="25" t="s">
        <v>105</v>
      </c>
      <c r="D108" s="2" t="s">
        <v>102</v>
      </c>
      <c r="J108" s="2" t="s">
        <v>103</v>
      </c>
      <c r="L108" s="26" t="s">
        <v>104</v>
      </c>
    </row>
    <row r="109" spans="1:12" ht="12.75" customHeight="1" x14ac:dyDescent="0.25">
      <c r="A109" s="25"/>
      <c r="L109" s="26"/>
    </row>
    <row r="110" spans="1:12" ht="12.75" customHeight="1" x14ac:dyDescent="0.25">
      <c r="A110" s="27"/>
      <c r="B110" s="10"/>
      <c r="C110" s="10"/>
      <c r="D110" s="10"/>
      <c r="E110" s="10"/>
      <c r="F110" s="10"/>
      <c r="G110" s="10"/>
      <c r="H110" s="11"/>
      <c r="I110" s="10"/>
      <c r="J110" s="10" t="s">
        <v>142</v>
      </c>
      <c r="K110" s="10"/>
      <c r="L110" s="28"/>
    </row>
    <row r="111" spans="1:12" ht="12.75" customHeight="1" x14ac:dyDescent="0.25">
      <c r="A111" s="25" t="s">
        <v>106</v>
      </c>
      <c r="E111" s="2" t="s">
        <v>102</v>
      </c>
      <c r="J111" s="2" t="s">
        <v>103</v>
      </c>
      <c r="L111" s="26" t="s">
        <v>104</v>
      </c>
    </row>
    <row r="112" spans="1:12" ht="12.75" customHeight="1" x14ac:dyDescent="0.25">
      <c r="A112" s="25"/>
      <c r="L112" s="26"/>
    </row>
    <row r="113" spans="1:12" ht="12.75" customHeight="1" x14ac:dyDescent="0.25">
      <c r="A113" s="27"/>
      <c r="B113" s="10"/>
      <c r="C113" s="10"/>
      <c r="D113" s="10"/>
      <c r="E113" s="10"/>
      <c r="F113" s="10"/>
      <c r="G113" s="10"/>
      <c r="H113" s="11"/>
      <c r="I113" s="10"/>
      <c r="J113" s="10" t="s">
        <v>145</v>
      </c>
      <c r="K113" s="10"/>
      <c r="L113" s="28"/>
    </row>
    <row r="114" spans="1:12" ht="12.75" customHeight="1" x14ac:dyDescent="0.25">
      <c r="A114" s="25" t="s">
        <v>107</v>
      </c>
      <c r="E114" s="2" t="s">
        <v>102</v>
      </c>
      <c r="J114" s="2" t="s">
        <v>103</v>
      </c>
      <c r="L114" s="26" t="s">
        <v>104</v>
      </c>
    </row>
    <row r="115" spans="1:12" ht="12.75" customHeight="1" x14ac:dyDescent="0.25">
      <c r="A115" s="25" t="s">
        <v>108</v>
      </c>
      <c r="L115" s="26"/>
    </row>
    <row r="116" spans="1:12" ht="12.75" customHeight="1" x14ac:dyDescent="0.25">
      <c r="A116" s="25"/>
      <c r="L116" s="26"/>
    </row>
    <row r="117" spans="1:12" ht="12.75" customHeight="1" x14ac:dyDescent="0.25">
      <c r="A117" s="27"/>
      <c r="B117" s="10"/>
      <c r="C117" s="10"/>
      <c r="D117" s="10"/>
      <c r="E117" s="10"/>
      <c r="F117" s="10"/>
      <c r="G117" s="10"/>
      <c r="H117" s="11"/>
      <c r="I117" s="10"/>
      <c r="J117" s="10" t="s">
        <v>146</v>
      </c>
      <c r="K117" s="10"/>
      <c r="L117" s="28"/>
    </row>
    <row r="118" spans="1:12" ht="12.75" customHeight="1" thickBot="1" x14ac:dyDescent="0.3">
      <c r="A118" s="29" t="s">
        <v>109</v>
      </c>
      <c r="B118" s="30"/>
      <c r="C118" s="30"/>
      <c r="D118" s="30"/>
      <c r="E118" s="85" t="s">
        <v>102</v>
      </c>
      <c r="F118" s="85"/>
      <c r="G118" s="85"/>
      <c r="H118" s="86"/>
      <c r="I118" s="85"/>
      <c r="J118" s="85" t="s">
        <v>103</v>
      </c>
      <c r="K118" s="30"/>
      <c r="L118" s="33" t="s">
        <v>104</v>
      </c>
    </row>
    <row r="119" spans="1:12" ht="12.75" customHeight="1" x14ac:dyDescent="0.25"/>
    <row r="120" spans="1:12" ht="12.75" customHeight="1" x14ac:dyDescent="0.25"/>
    <row r="121" spans="1:12" ht="17.399999999999999" x14ac:dyDescent="0.3">
      <c r="A121" s="1" t="s">
        <v>110</v>
      </c>
    </row>
    <row r="123" spans="1:12" s="8" customFormat="1" x14ac:dyDescent="0.25">
      <c r="A123" s="8" t="s">
        <v>111</v>
      </c>
      <c r="H123" s="34"/>
      <c r="L123" s="34"/>
    </row>
    <row r="125" spans="1:12" x14ac:dyDescent="0.25">
      <c r="A125" s="2" t="s">
        <v>112</v>
      </c>
    </row>
    <row r="127" spans="1:12" x14ac:dyDescent="0.25">
      <c r="A127" s="10"/>
      <c r="B127" s="10"/>
      <c r="C127" s="10"/>
      <c r="D127" s="10"/>
      <c r="E127" s="10"/>
      <c r="F127" s="10"/>
      <c r="G127" s="10"/>
      <c r="H127" s="11"/>
      <c r="I127" s="10"/>
      <c r="J127" s="10"/>
      <c r="K127" s="10"/>
      <c r="L127" s="11"/>
    </row>
    <row r="129" spans="1:12" x14ac:dyDescent="0.25">
      <c r="A129" s="10"/>
      <c r="B129" s="10"/>
      <c r="C129" s="10"/>
      <c r="D129" s="10"/>
      <c r="E129" s="10"/>
      <c r="F129" s="10"/>
      <c r="G129" s="10"/>
      <c r="H129" s="11"/>
      <c r="I129" s="10"/>
      <c r="J129" s="10"/>
      <c r="K129" s="10"/>
      <c r="L129" s="11"/>
    </row>
    <row r="131" spans="1:12" x14ac:dyDescent="0.25">
      <c r="A131" s="2" t="s">
        <v>113</v>
      </c>
    </row>
    <row r="133" spans="1:12" x14ac:dyDescent="0.25">
      <c r="A133" s="10"/>
      <c r="B133" s="10"/>
      <c r="C133" s="10"/>
      <c r="D133" s="10"/>
      <c r="E133" s="10"/>
      <c r="F133" s="10"/>
      <c r="G133" s="10"/>
      <c r="H133" s="11"/>
      <c r="I133" s="10"/>
      <c r="J133" s="10"/>
      <c r="K133" s="10"/>
      <c r="L133" s="11"/>
    </row>
    <row r="135" spans="1:12" x14ac:dyDescent="0.25">
      <c r="A135" s="10"/>
      <c r="B135" s="10"/>
      <c r="C135" s="10"/>
      <c r="D135" s="10"/>
      <c r="E135" s="10"/>
      <c r="F135" s="10"/>
      <c r="G135" s="10"/>
      <c r="H135" s="11"/>
      <c r="I135" s="10"/>
      <c r="J135" s="10"/>
      <c r="K135" s="10"/>
      <c r="L135" s="11"/>
    </row>
    <row r="137" spans="1:12" x14ac:dyDescent="0.25">
      <c r="A137" s="2" t="s">
        <v>114</v>
      </c>
    </row>
    <row r="139" spans="1:12" x14ac:dyDescent="0.25">
      <c r="A139" s="10"/>
      <c r="B139" s="10"/>
      <c r="C139" s="10"/>
      <c r="D139" s="10"/>
      <c r="E139" s="10"/>
      <c r="F139" s="10"/>
      <c r="G139" s="10"/>
      <c r="H139" s="11"/>
      <c r="I139" s="10"/>
      <c r="J139" s="10"/>
      <c r="K139" s="10"/>
      <c r="L139" s="11"/>
    </row>
    <row r="141" spans="1:12" x14ac:dyDescent="0.25">
      <c r="A141" s="10"/>
      <c r="B141" s="10"/>
      <c r="C141" s="10"/>
      <c r="D141" s="10"/>
      <c r="E141" s="10"/>
      <c r="F141" s="10"/>
      <c r="G141" s="10"/>
      <c r="H141" s="11"/>
      <c r="I141" s="10"/>
      <c r="J141" s="10"/>
      <c r="K141" s="10"/>
      <c r="L141" s="11"/>
    </row>
    <row r="143" spans="1:12" s="8" customFormat="1" x14ac:dyDescent="0.25">
      <c r="A143" s="8" t="s">
        <v>115</v>
      </c>
      <c r="H143" s="34"/>
      <c r="L143" s="34"/>
    </row>
    <row r="144" spans="1:12" x14ac:dyDescent="0.25">
      <c r="F144" s="17" t="s">
        <v>20</v>
      </c>
      <c r="G144" s="17"/>
    </row>
    <row r="145" spans="1:12" x14ac:dyDescent="0.25">
      <c r="A145" s="2" t="s">
        <v>116</v>
      </c>
      <c r="F145" s="18" t="s">
        <v>58</v>
      </c>
      <c r="G145" s="17"/>
      <c r="H145" s="19" t="s">
        <v>18</v>
      </c>
      <c r="I145" s="17"/>
      <c r="J145" s="18" t="s">
        <v>20</v>
      </c>
    </row>
    <row r="148" spans="1:12" x14ac:dyDescent="0.25">
      <c r="A148" s="2" t="s">
        <v>117</v>
      </c>
      <c r="F148" s="44">
        <v>25.3</v>
      </c>
      <c r="H148" s="11"/>
      <c r="I148" s="6"/>
      <c r="J148" s="11">
        <f>H148*F148*0.01</f>
        <v>0</v>
      </c>
      <c r="L148" s="11">
        <f>H148+J148</f>
        <v>0</v>
      </c>
    </row>
    <row r="149" spans="1:12" x14ac:dyDescent="0.25">
      <c r="F149" s="44"/>
      <c r="I149" s="6"/>
      <c r="J149" s="6"/>
    </row>
    <row r="150" spans="1:12" x14ac:dyDescent="0.25">
      <c r="A150" s="2" t="s">
        <v>118</v>
      </c>
      <c r="F150" s="44">
        <v>25.3</v>
      </c>
      <c r="H150" s="11"/>
      <c r="I150" s="6"/>
      <c r="J150" s="11">
        <f>H150*F150*0.01</f>
        <v>0</v>
      </c>
      <c r="L150" s="11">
        <f>H150+J150</f>
        <v>0</v>
      </c>
    </row>
    <row r="151" spans="1:12" x14ac:dyDescent="0.25">
      <c r="F151" s="44"/>
      <c r="I151" s="6"/>
      <c r="J151" s="6"/>
    </row>
    <row r="152" spans="1:12" x14ac:dyDescent="0.25">
      <c r="A152" s="2" t="s">
        <v>119</v>
      </c>
      <c r="F152" s="44">
        <v>25.3</v>
      </c>
      <c r="H152" s="11"/>
      <c r="I152" s="6"/>
      <c r="J152" s="11">
        <f>H152*F152*0.01</f>
        <v>0</v>
      </c>
      <c r="L152" s="11">
        <f>H152+J152</f>
        <v>0</v>
      </c>
    </row>
    <row r="153" spans="1:12" x14ac:dyDescent="0.25">
      <c r="F153" s="44"/>
      <c r="I153" s="6"/>
      <c r="J153" s="6"/>
    </row>
    <row r="154" spans="1:12" x14ac:dyDescent="0.25">
      <c r="A154" s="2" t="s">
        <v>120</v>
      </c>
      <c r="F154" s="44">
        <v>25.3</v>
      </c>
      <c r="H154" s="11"/>
      <c r="I154" s="6"/>
      <c r="J154" s="11">
        <f>H154*F154*0.01</f>
        <v>0</v>
      </c>
      <c r="L154" s="11">
        <f>H154+J154</f>
        <v>0</v>
      </c>
    </row>
    <row r="155" spans="1:12" x14ac:dyDescent="0.25">
      <c r="F155" s="44"/>
      <c r="I155" s="6"/>
      <c r="J155" s="6"/>
    </row>
    <row r="156" spans="1:12" x14ac:dyDescent="0.25">
      <c r="A156" s="2" t="s">
        <v>121</v>
      </c>
      <c r="F156" s="44">
        <v>4.97</v>
      </c>
      <c r="H156" s="11"/>
      <c r="I156" s="6"/>
      <c r="J156" s="11">
        <f>H156*F156*0.01</f>
        <v>0</v>
      </c>
      <c r="L156" s="11">
        <f>H156+J156</f>
        <v>0</v>
      </c>
    </row>
    <row r="157" spans="1:12" x14ac:dyDescent="0.25">
      <c r="F157" s="44"/>
      <c r="I157" s="6"/>
      <c r="J157" s="6"/>
    </row>
    <row r="158" spans="1:12" x14ac:dyDescent="0.25">
      <c r="A158" s="2" t="s">
        <v>122</v>
      </c>
      <c r="F158" s="44">
        <v>4.97</v>
      </c>
      <c r="H158" s="11"/>
      <c r="I158" s="6"/>
      <c r="J158" s="11">
        <f>H158*F158*0.01</f>
        <v>0</v>
      </c>
      <c r="L158" s="11">
        <f>H158+J158</f>
        <v>0</v>
      </c>
    </row>
    <row r="159" spans="1:12" x14ac:dyDescent="0.25">
      <c r="F159" s="44"/>
      <c r="I159" s="6"/>
      <c r="J159" s="6"/>
    </row>
    <row r="160" spans="1:12" x14ac:dyDescent="0.25">
      <c r="A160" s="2" t="s">
        <v>123</v>
      </c>
      <c r="F160" s="44">
        <v>4.97</v>
      </c>
      <c r="H160" s="11"/>
      <c r="I160" s="6"/>
      <c r="J160" s="11">
        <f>H160*F160*0.01</f>
        <v>0</v>
      </c>
      <c r="L160" s="11">
        <f>H160+J160</f>
        <v>0</v>
      </c>
    </row>
    <row r="161" spans="1:12" x14ac:dyDescent="0.25">
      <c r="F161" s="44"/>
      <c r="I161" s="6"/>
      <c r="J161" s="6"/>
    </row>
    <row r="162" spans="1:12" x14ac:dyDescent="0.25">
      <c r="A162" s="2" t="s">
        <v>124</v>
      </c>
      <c r="F162" s="44">
        <v>36.700000000000003</v>
      </c>
      <c r="H162" s="11"/>
      <c r="I162" s="6"/>
      <c r="J162" s="11">
        <f>H162*F162*0.01</f>
        <v>0</v>
      </c>
      <c r="L162" s="11">
        <f>H162+J162</f>
        <v>0</v>
      </c>
    </row>
    <row r="163" spans="1:12" x14ac:dyDescent="0.25">
      <c r="F163" s="44"/>
      <c r="I163" s="6"/>
      <c r="J163" s="6"/>
    </row>
    <row r="164" spans="1:12" x14ac:dyDescent="0.25">
      <c r="A164" s="2" t="s">
        <v>125</v>
      </c>
      <c r="F164" s="44">
        <v>1.52</v>
      </c>
      <c r="H164" s="11"/>
      <c r="I164" s="6"/>
      <c r="J164" s="11">
        <f>H164*F164*0.01</f>
        <v>0</v>
      </c>
      <c r="L164" s="11">
        <f>H164+J164</f>
        <v>0</v>
      </c>
    </row>
    <row r="165" spans="1:12" x14ac:dyDescent="0.25">
      <c r="F165" s="44"/>
      <c r="I165" s="6"/>
      <c r="J165" s="6"/>
    </row>
    <row r="166" spans="1:12" x14ac:dyDescent="0.25">
      <c r="A166" s="2" t="s">
        <v>126</v>
      </c>
      <c r="F166" s="44">
        <v>23.12</v>
      </c>
      <c r="H166" s="11"/>
      <c r="I166" s="6"/>
      <c r="J166" s="11">
        <f>H166*F166*0.01</f>
        <v>0</v>
      </c>
      <c r="L166" s="11">
        <f t="shared" ref="L166:L178" si="0">H166+J166</f>
        <v>0</v>
      </c>
    </row>
    <row r="167" spans="1:12" x14ac:dyDescent="0.25">
      <c r="F167" s="44"/>
      <c r="I167" s="6"/>
      <c r="J167" s="6"/>
    </row>
    <row r="168" spans="1:12" x14ac:dyDescent="0.25">
      <c r="A168" s="2" t="s">
        <v>127</v>
      </c>
      <c r="F168" s="44">
        <v>1.52</v>
      </c>
      <c r="H168" s="11"/>
      <c r="I168" s="6"/>
      <c r="J168" s="6">
        <f>H168*F168*0.01</f>
        <v>0</v>
      </c>
      <c r="L168" s="11">
        <f t="shared" si="0"/>
        <v>0</v>
      </c>
    </row>
    <row r="169" spans="1:12" x14ac:dyDescent="0.25">
      <c r="F169" s="44"/>
      <c r="I169" s="6"/>
      <c r="J169" s="36"/>
    </row>
    <row r="170" spans="1:12" x14ac:dyDescent="0.25">
      <c r="A170" s="2" t="s">
        <v>128</v>
      </c>
      <c r="F170" s="44">
        <v>23.12</v>
      </c>
      <c r="H170" s="11"/>
      <c r="I170" s="6"/>
      <c r="J170" s="11">
        <f>H170*F170*0.01</f>
        <v>0</v>
      </c>
      <c r="L170" s="11">
        <f t="shared" si="0"/>
        <v>0</v>
      </c>
    </row>
    <row r="171" spans="1:12" x14ac:dyDescent="0.25">
      <c r="F171" s="44"/>
      <c r="I171" s="6"/>
      <c r="J171" s="6"/>
    </row>
    <row r="172" spans="1:12" x14ac:dyDescent="0.25">
      <c r="A172" s="2" t="s">
        <v>129</v>
      </c>
      <c r="F172" s="44">
        <v>1.52</v>
      </c>
      <c r="H172" s="11"/>
      <c r="I172" s="6"/>
      <c r="J172" s="6">
        <f>H172*F172*0.01</f>
        <v>0</v>
      </c>
      <c r="L172" s="11">
        <f t="shared" si="0"/>
        <v>0</v>
      </c>
    </row>
    <row r="173" spans="1:12" x14ac:dyDescent="0.25">
      <c r="F173" s="44"/>
      <c r="I173" s="6"/>
      <c r="J173" s="36"/>
    </row>
    <row r="174" spans="1:12" x14ac:dyDescent="0.25">
      <c r="A174" s="2" t="s">
        <v>130</v>
      </c>
      <c r="F174" s="44">
        <v>23.12</v>
      </c>
      <c r="H174" s="11"/>
      <c r="I174" s="6"/>
      <c r="J174" s="11">
        <f>H174*F174*0.01</f>
        <v>0</v>
      </c>
      <c r="L174" s="11">
        <f t="shared" si="0"/>
        <v>0</v>
      </c>
    </row>
    <row r="175" spans="1:12" x14ac:dyDescent="0.25">
      <c r="F175" s="44"/>
      <c r="I175" s="6"/>
      <c r="J175" s="6"/>
    </row>
    <row r="176" spans="1:12" x14ac:dyDescent="0.25">
      <c r="A176" s="2" t="s">
        <v>131</v>
      </c>
      <c r="F176" s="44">
        <v>18.96</v>
      </c>
      <c r="H176" s="11"/>
      <c r="I176" s="6"/>
      <c r="J176" s="11">
        <f>H176*F176*0.01</f>
        <v>0</v>
      </c>
      <c r="L176" s="11">
        <f t="shared" si="0"/>
        <v>0</v>
      </c>
    </row>
    <row r="177" spans="1:12" x14ac:dyDescent="0.25">
      <c r="F177" s="44"/>
      <c r="I177" s="6"/>
      <c r="J177" s="6"/>
    </row>
    <row r="178" spans="1:12" x14ac:dyDescent="0.25">
      <c r="A178" s="2" t="s">
        <v>132</v>
      </c>
      <c r="F178" s="44">
        <v>23.12</v>
      </c>
      <c r="H178" s="11"/>
      <c r="I178" s="6"/>
      <c r="J178" s="11">
        <f>H178*F178*0.01</f>
        <v>0</v>
      </c>
      <c r="L178" s="11">
        <f t="shared" si="0"/>
        <v>0</v>
      </c>
    </row>
    <row r="179" spans="1:12" x14ac:dyDescent="0.25">
      <c r="F179" s="44"/>
      <c r="I179" s="6"/>
      <c r="J179" s="6"/>
    </row>
    <row r="180" spans="1:12" x14ac:dyDescent="0.25">
      <c r="A180" s="2" t="s">
        <v>133</v>
      </c>
      <c r="F180" s="44">
        <v>19.14</v>
      </c>
      <c r="H180" s="11"/>
      <c r="I180" s="6"/>
      <c r="J180" s="11">
        <f>H180*F180*0.01</f>
        <v>0</v>
      </c>
      <c r="L180" s="11">
        <f>H180+J180</f>
        <v>0</v>
      </c>
    </row>
    <row r="181" spans="1:12" x14ac:dyDescent="0.25">
      <c r="F181" s="44"/>
      <c r="I181" s="6"/>
      <c r="J181" s="6"/>
    </row>
    <row r="182" spans="1:12" x14ac:dyDescent="0.25">
      <c r="A182" s="2" t="s">
        <v>134</v>
      </c>
      <c r="F182" s="44">
        <v>0.1</v>
      </c>
      <c r="H182" s="11"/>
      <c r="I182" s="6"/>
      <c r="J182" s="11">
        <f>H182*F182*0.01</f>
        <v>0</v>
      </c>
      <c r="L182" s="11">
        <f>H182+J182</f>
        <v>0</v>
      </c>
    </row>
    <row r="183" spans="1:12" x14ac:dyDescent="0.25">
      <c r="F183" s="44"/>
      <c r="I183" s="6"/>
      <c r="J183" s="6"/>
    </row>
    <row r="184" spans="1:12" x14ac:dyDescent="0.25">
      <c r="A184" s="2" t="s">
        <v>135</v>
      </c>
      <c r="F184" s="44">
        <v>0</v>
      </c>
      <c r="H184" s="11"/>
      <c r="I184" s="6"/>
      <c r="J184" s="11">
        <f>H184*F184*0.01</f>
        <v>0</v>
      </c>
      <c r="L184" s="11">
        <f>H184+J184</f>
        <v>0</v>
      </c>
    </row>
    <row r="185" spans="1:12" x14ac:dyDescent="0.25">
      <c r="F185" s="44"/>
      <c r="I185" s="6"/>
      <c r="J185" s="6"/>
    </row>
    <row r="186" spans="1:12" x14ac:dyDescent="0.25">
      <c r="A186" s="2" t="s">
        <v>136</v>
      </c>
      <c r="F186" s="35">
        <v>0</v>
      </c>
      <c r="H186" s="11"/>
      <c r="I186" s="6"/>
      <c r="J186" s="11">
        <f>H186*F186*0.01</f>
        <v>0</v>
      </c>
      <c r="L186" s="11">
        <f>H186+J186</f>
        <v>0</v>
      </c>
    </row>
    <row r="187" spans="1:12" x14ac:dyDescent="0.25">
      <c r="I187" s="6"/>
      <c r="J187" s="6"/>
    </row>
    <row r="188" spans="1:12" ht="13.8" thickBot="1" x14ac:dyDescent="0.3">
      <c r="C188" s="2" t="s">
        <v>137</v>
      </c>
      <c r="H188" s="15">
        <f>SUM(H148:H186)</f>
        <v>0</v>
      </c>
      <c r="I188" s="6"/>
      <c r="J188" s="15">
        <f>SUM(J148:J186)</f>
        <v>0</v>
      </c>
      <c r="L188" s="15">
        <f>SUM(L148:L186)</f>
        <v>0</v>
      </c>
    </row>
    <row r="189" spans="1:12" ht="13.8" thickTop="1" x14ac:dyDescent="0.25"/>
    <row r="192" spans="1:12" s="8" customFormat="1" x14ac:dyDescent="0.25">
      <c r="A192" s="8" t="s">
        <v>138</v>
      </c>
      <c r="H192" s="34"/>
      <c r="L192" s="34"/>
    </row>
    <row r="193" spans="1:12" s="8" customFormat="1" x14ac:dyDescent="0.25">
      <c r="A193" s="8" t="s">
        <v>139</v>
      </c>
      <c r="H193" s="34"/>
      <c r="L193" s="34"/>
    </row>
    <row r="196" spans="1:12" x14ac:dyDescent="0.25">
      <c r="A196" s="87" t="s">
        <v>178</v>
      </c>
      <c r="B196" s="10"/>
      <c r="C196" s="10"/>
      <c r="D196" s="10"/>
      <c r="E196" s="10"/>
      <c r="F196" s="10"/>
      <c r="G196" s="10"/>
      <c r="H196" s="11"/>
      <c r="I196" s="10"/>
      <c r="J196" s="10"/>
      <c r="K196" s="10"/>
      <c r="L196" s="11"/>
    </row>
    <row r="197" spans="1:12" x14ac:dyDescent="0.25">
      <c r="A197" s="40"/>
      <c r="B197" s="31"/>
      <c r="C197" s="31"/>
      <c r="D197" s="31"/>
      <c r="E197" s="31"/>
      <c r="F197" s="31"/>
      <c r="G197" s="31"/>
      <c r="H197" s="32"/>
      <c r="I197" s="31"/>
      <c r="J197" s="31"/>
      <c r="K197" s="31"/>
      <c r="L197" s="32"/>
    </row>
    <row r="199" spans="1:12" x14ac:dyDescent="0.25">
      <c r="A199" s="10"/>
      <c r="B199" s="10"/>
      <c r="C199" s="10"/>
      <c r="D199" s="10"/>
      <c r="E199" s="10"/>
      <c r="F199" s="10"/>
      <c r="G199" s="10"/>
      <c r="H199" s="11"/>
      <c r="I199" s="10"/>
      <c r="J199" s="10"/>
      <c r="K199" s="10"/>
      <c r="L199" s="11"/>
    </row>
    <row r="201" spans="1:12" x14ac:dyDescent="0.25">
      <c r="A201" s="10"/>
      <c r="B201" s="10"/>
      <c r="C201" s="10"/>
      <c r="D201" s="10"/>
      <c r="E201" s="10"/>
      <c r="F201" s="10"/>
      <c r="G201" s="10"/>
      <c r="H201" s="11"/>
      <c r="I201" s="10"/>
      <c r="J201" s="10"/>
      <c r="K201" s="10"/>
      <c r="L201" s="11"/>
    </row>
    <row r="203" spans="1:12" x14ac:dyDescent="0.25">
      <c r="A203" s="10"/>
      <c r="B203" s="10"/>
      <c r="C203" s="10"/>
      <c r="D203" s="10"/>
      <c r="E203" s="10"/>
      <c r="F203" s="10"/>
      <c r="G203" s="10"/>
      <c r="H203" s="11"/>
      <c r="I203" s="10"/>
      <c r="J203" s="10"/>
      <c r="K203" s="10"/>
      <c r="L203" s="11"/>
    </row>
    <row r="205" spans="1:12" x14ac:dyDescent="0.25">
      <c r="A205" s="10"/>
      <c r="B205" s="10"/>
      <c r="C205" s="10"/>
      <c r="D205" s="10"/>
      <c r="E205" s="10"/>
      <c r="F205" s="10"/>
      <c r="G205" s="10"/>
      <c r="H205" s="11"/>
      <c r="I205" s="10"/>
      <c r="J205" s="10"/>
      <c r="K205" s="10"/>
      <c r="L205" s="11"/>
    </row>
    <row r="207" spans="1:12" x14ac:dyDescent="0.25">
      <c r="A207" s="10"/>
      <c r="B207" s="10"/>
      <c r="C207" s="10"/>
      <c r="D207" s="10"/>
      <c r="E207" s="10"/>
      <c r="F207" s="10"/>
      <c r="G207" s="10"/>
      <c r="H207" s="11"/>
      <c r="I207" s="10"/>
      <c r="J207" s="10"/>
      <c r="K207" s="10"/>
      <c r="L207" s="11"/>
    </row>
    <row r="209" spans="1:12" x14ac:dyDescent="0.25">
      <c r="A209" s="10"/>
      <c r="B209" s="10"/>
      <c r="C209" s="10"/>
      <c r="D209" s="10"/>
      <c r="E209" s="10"/>
      <c r="F209" s="10"/>
      <c r="G209" s="10"/>
      <c r="H209" s="11"/>
      <c r="I209" s="10"/>
      <c r="J209" s="10"/>
      <c r="K209" s="10"/>
      <c r="L209" s="11"/>
    </row>
    <row r="211" spans="1:12" x14ac:dyDescent="0.25">
      <c r="A211" s="10"/>
      <c r="B211" s="10"/>
      <c r="C211" s="10"/>
      <c r="D211" s="10"/>
      <c r="E211" s="10"/>
      <c r="F211" s="10"/>
      <c r="G211" s="10"/>
      <c r="H211" s="11"/>
      <c r="I211" s="10"/>
      <c r="J211" s="10"/>
      <c r="K211" s="10"/>
      <c r="L211" s="11"/>
    </row>
    <row r="213" spans="1:12" x14ac:dyDescent="0.25">
      <c r="A213" s="10"/>
      <c r="B213" s="10"/>
      <c r="C213" s="10"/>
      <c r="D213" s="10"/>
      <c r="E213" s="10"/>
      <c r="F213" s="10"/>
      <c r="G213" s="10"/>
      <c r="H213" s="11"/>
      <c r="I213" s="10"/>
      <c r="J213" s="10"/>
      <c r="K213" s="10"/>
      <c r="L213" s="11"/>
    </row>
    <row r="215" spans="1:12" x14ac:dyDescent="0.25">
      <c r="A215" s="10"/>
      <c r="B215" s="10"/>
      <c r="C215" s="10"/>
      <c r="D215" s="10"/>
      <c r="E215" s="10"/>
      <c r="F215" s="10"/>
      <c r="G215" s="10"/>
      <c r="H215" s="11"/>
      <c r="I215" s="10"/>
      <c r="J215" s="10"/>
      <c r="K215" s="10"/>
      <c r="L215" s="11"/>
    </row>
    <row r="217" spans="1:12" x14ac:dyDescent="0.25">
      <c r="A217" s="10"/>
      <c r="B217" s="10"/>
      <c r="C217" s="10"/>
      <c r="D217" s="10"/>
      <c r="E217" s="10"/>
      <c r="F217" s="10"/>
      <c r="G217" s="10"/>
      <c r="H217" s="11"/>
      <c r="I217" s="10"/>
      <c r="J217" s="10"/>
      <c r="K217" s="10"/>
      <c r="L217" s="11"/>
    </row>
    <row r="219" spans="1:12" x14ac:dyDescent="0.25">
      <c r="A219" s="10"/>
      <c r="B219" s="10"/>
      <c r="C219" s="10"/>
      <c r="D219" s="10"/>
      <c r="E219" s="10"/>
      <c r="F219" s="10"/>
      <c r="G219" s="10"/>
      <c r="H219" s="11"/>
      <c r="I219" s="10"/>
      <c r="J219" s="10"/>
      <c r="K219" s="10"/>
      <c r="L219" s="11"/>
    </row>
    <row r="221" spans="1:12" x14ac:dyDescent="0.25">
      <c r="A221" s="10"/>
      <c r="B221" s="10"/>
      <c r="C221" s="10"/>
      <c r="D221" s="10"/>
      <c r="E221" s="10"/>
      <c r="F221" s="10"/>
      <c r="G221" s="10"/>
      <c r="H221" s="11"/>
      <c r="I221" s="10"/>
      <c r="J221" s="10"/>
      <c r="K221" s="10"/>
      <c r="L221" s="11"/>
    </row>
    <row r="223" spans="1:12" x14ac:dyDescent="0.25">
      <c r="A223" s="10"/>
      <c r="B223" s="10"/>
      <c r="C223" s="10"/>
      <c r="D223" s="10"/>
      <c r="E223" s="10"/>
      <c r="F223" s="10"/>
      <c r="G223" s="10"/>
      <c r="H223" s="11"/>
      <c r="I223" s="10"/>
      <c r="J223" s="10"/>
      <c r="K223" s="10"/>
      <c r="L223" s="11"/>
    </row>
  </sheetData>
  <pageMargins left="0.25" right="0.25" top="0.25" bottom="0" header="0" footer="0"/>
  <pageSetup scale="85" orientation="portrait" r:id="rId1"/>
  <headerFooter alignWithMargins="0">
    <oddFooter>Page &amp;P</oddFooter>
  </headerFooter>
  <rowBreaks count="3" manualBreakCount="3">
    <brk id="60" max="65535" man="1"/>
    <brk id="118" max="65535" man="1"/>
    <brk id="18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FY26 22 Billing Rate Calc</vt:lpstr>
      <vt:lpstr>FY26 Fringe Rates</vt:lpstr>
      <vt:lpstr>Labor</vt:lpstr>
      <vt:lpstr>FY26 22 Acct FBR</vt:lpstr>
      <vt:lpstr>22 Acct 3 Yr Projection</vt:lpstr>
      <vt:lpstr>Billing Rate Calculation</vt:lpstr>
      <vt:lpstr>3-Year Projection</vt:lpstr>
      <vt:lpstr>21 Fund Budget Request Form</vt:lpstr>
      <vt:lpstr>'21 Fund Budget Request Form'!Print_Area</vt:lpstr>
      <vt:lpstr>'FY26 22 Acct FBR'!Print_Area</vt:lpstr>
      <vt:lpstr>'FY26 22 Billing Rate Calc'!Print_Area</vt:lpstr>
    </vt:vector>
  </TitlesOfParts>
  <Company>CVMBS Computing Resources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corrinee</dc:creator>
  <cp:lastModifiedBy>Knight,Scott</cp:lastModifiedBy>
  <cp:lastPrinted>2017-04-30T18:35:29Z</cp:lastPrinted>
  <dcterms:created xsi:type="dcterms:W3CDTF">2014-03-31T17:40:24Z</dcterms:created>
  <dcterms:modified xsi:type="dcterms:W3CDTF">2025-03-13T12:57:40Z</dcterms:modified>
</cp:coreProperties>
</file>